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trlProps/ctrlProp3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11 Mobilität und Verkehr\Strukturerhebung\2022\"/>
    </mc:Choice>
  </mc:AlternateContent>
  <workbookProtection lockStructure="1"/>
  <bookViews>
    <workbookView xWindow="-120" yWindow="-120" windowWidth="29040" windowHeight="15720"/>
  </bookViews>
  <sheets>
    <sheet name="Schweiz 2022" sheetId="1" r:id="rId1"/>
    <sheet name="Graubünden 2022" sheetId="3" r:id="rId2"/>
    <sheet name="Uebersetzungen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7" i="3" l="1"/>
  <c r="A56" i="3"/>
  <c r="A55" i="3"/>
  <c r="A54" i="3"/>
  <c r="A53" i="3"/>
  <c r="A52" i="3"/>
  <c r="A51" i="3"/>
  <c r="A50" i="3"/>
  <c r="B44" i="3"/>
  <c r="B48" i="3"/>
  <c r="B47" i="3"/>
  <c r="B46" i="3"/>
  <c r="B45" i="3"/>
  <c r="B43" i="3"/>
  <c r="B42" i="3"/>
  <c r="B41" i="3"/>
  <c r="B40" i="3"/>
  <c r="B39" i="3"/>
  <c r="B38" i="3"/>
  <c r="B37" i="3"/>
  <c r="B36" i="3"/>
  <c r="A46" i="3"/>
  <c r="A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A50" i="1"/>
  <c r="A49" i="1"/>
  <c r="A48" i="1"/>
  <c r="A47" i="1"/>
  <c r="A46" i="1"/>
  <c r="A45" i="1"/>
  <c r="R14" i="3" l="1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D14" i="1"/>
  <c r="C14" i="1"/>
  <c r="C13" i="3"/>
  <c r="A15" i="3"/>
  <c r="A10" i="3"/>
  <c r="A9" i="3"/>
  <c r="A53" i="1"/>
  <c r="A43" i="1"/>
  <c r="B16" i="1"/>
  <c r="A16" i="1"/>
  <c r="A15" i="1"/>
  <c r="C13" i="1"/>
  <c r="A10" i="1"/>
  <c r="A7" i="1"/>
  <c r="A9" i="1"/>
  <c r="A16" i="3" l="1"/>
  <c r="A32" i="3" l="1"/>
  <c r="A27" i="3"/>
  <c r="A22" i="3"/>
  <c r="A18" i="3"/>
  <c r="A60" i="3" l="1"/>
  <c r="A59" i="3"/>
  <c r="A7" i="3" l="1"/>
  <c r="Q13" i="3"/>
  <c r="O13" i="3"/>
  <c r="M13" i="3"/>
  <c r="K13" i="3"/>
  <c r="I13" i="3"/>
  <c r="G13" i="3"/>
  <c r="E13" i="3"/>
  <c r="B41" i="1" l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I14" i="1"/>
  <c r="E14" i="1"/>
  <c r="B17" i="1" l="1"/>
  <c r="A52" i="1"/>
  <c r="A44" i="1"/>
  <c r="Q13" i="1"/>
  <c r="O13" i="1"/>
  <c r="M13" i="1"/>
  <c r="K13" i="1"/>
  <c r="I13" i="1"/>
  <c r="G13" i="1"/>
  <c r="E13" i="1"/>
  <c r="R14" i="1"/>
  <c r="Q14" i="1"/>
  <c r="P14" i="1"/>
  <c r="O14" i="1"/>
  <c r="N14" i="1"/>
  <c r="M14" i="1"/>
  <c r="L14" i="1"/>
  <c r="K14" i="1"/>
  <c r="J14" i="1"/>
  <c r="H14" i="1"/>
  <c r="G14" i="1"/>
  <c r="F14" i="1"/>
</calcChain>
</file>

<file path=xl/sharedStrings.xml><?xml version="1.0" encoding="utf-8"?>
<sst xmlns="http://schemas.openxmlformats.org/spreadsheetml/2006/main" count="500" uniqueCount="357">
  <si>
    <t>Anzahl Personen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</si>
  <si>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</si>
  <si>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</si>
  <si>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</si>
  <si>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</si>
  <si>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</si>
  <si>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</si>
  <si>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</si>
  <si>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</si>
  <si>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</si>
  <si>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</si>
  <si>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T1-2</t>
  </si>
  <si>
    <t>&lt;Titel&gt;</t>
  </si>
  <si>
    <t>&lt;UTitel&gt;</t>
  </si>
  <si>
    <t>Ständige schweizerische Wohnbevölkerung ab 15 Jahren</t>
  </si>
  <si>
    <t>Populaziun residenta permanenta da la Svizra a partir da 15 onns</t>
  </si>
  <si>
    <t>Popolazione residente permanente svizzera di 15 anni e più</t>
  </si>
  <si>
    <t>&lt;SpaltenTitel_1&gt;</t>
  </si>
  <si>
    <t>Total</t>
  </si>
  <si>
    <t>Totale</t>
  </si>
  <si>
    <t>&lt;SpaltenTitel_2&gt;</t>
  </si>
  <si>
    <t>&lt;SpaltenTitel_3&gt;</t>
  </si>
  <si>
    <t>&lt;SpaltenTitel_4&gt;</t>
  </si>
  <si>
    <t>&lt;SpaltenTitel_5&gt;</t>
  </si>
  <si>
    <t>&lt;SpaltenTitel_6&gt;</t>
  </si>
  <si>
    <t>&lt;SpaltenTitel_7&gt;</t>
  </si>
  <si>
    <t>&lt;SpaltenTitel_8&gt;</t>
  </si>
  <si>
    <t>&lt;SpaltenTitel_1.1&gt;</t>
  </si>
  <si>
    <t>Dumber da persunas</t>
  </si>
  <si>
    <t>Numero di persone</t>
  </si>
  <si>
    <t>&lt;SpaltenTitel_1.2&gt;</t>
  </si>
  <si>
    <t>Vertrauens- intervall:          ± (in %)</t>
  </si>
  <si>
    <t>Interval da confidenza:          ± (en %)</t>
  </si>
  <si>
    <t>Intervallo di confidenza:          ± (in %)</t>
  </si>
  <si>
    <t>T1</t>
  </si>
  <si>
    <t>&lt;Zeilentitel_1&gt;</t>
  </si>
  <si>
    <t>&lt;Zeilentitel_2&gt;</t>
  </si>
  <si>
    <t>Kanton</t>
  </si>
  <si>
    <t>Chantun</t>
  </si>
  <si>
    <t>Cantone</t>
  </si>
  <si>
    <t>&lt;Zeilentitel_2.1&gt;</t>
  </si>
  <si>
    <t>Zürich</t>
  </si>
  <si>
    <t>Turitg</t>
  </si>
  <si>
    <t>Zurigo</t>
  </si>
  <si>
    <t>&lt;Zeilentitel_2.2&gt;</t>
  </si>
  <si>
    <t>Bern</t>
  </si>
  <si>
    <t>Berna</t>
  </si>
  <si>
    <t>&lt;Zeilentitel_2.3&gt;</t>
  </si>
  <si>
    <t>Luzern</t>
  </si>
  <si>
    <t>Lucerna</t>
  </si>
  <si>
    <t>&lt;Zeilentitel_2.4&gt;</t>
  </si>
  <si>
    <t>Uri</t>
  </si>
  <si>
    <t>&lt;Zeilentitel_2.5&gt;</t>
  </si>
  <si>
    <t>Schwyz</t>
  </si>
  <si>
    <t>Sviz</t>
  </si>
  <si>
    <t>Svitto</t>
  </si>
  <si>
    <t>&lt;Zeilentitel_2.6&gt;</t>
  </si>
  <si>
    <t>Obwalden</t>
  </si>
  <si>
    <t>Sursilvania</t>
  </si>
  <si>
    <t>Obvaldo</t>
  </si>
  <si>
    <t>&lt;Zeilentitel_2.7&gt;</t>
  </si>
  <si>
    <t>Nidwalden</t>
  </si>
  <si>
    <t>Sutsilvania</t>
  </si>
  <si>
    <t>Nidvaldo</t>
  </si>
  <si>
    <t>&lt;Zeilentitel_2.8&gt;</t>
  </si>
  <si>
    <t>Glarus</t>
  </si>
  <si>
    <t>Glaruna</t>
  </si>
  <si>
    <t>Glarona</t>
  </si>
  <si>
    <t>&lt;Zeilentitel_2.9&gt;</t>
  </si>
  <si>
    <t>Zug</t>
  </si>
  <si>
    <t>Zugo</t>
  </si>
  <si>
    <t>&lt;Zeilentitel_2.10&gt;</t>
  </si>
  <si>
    <t>Freiburg</t>
  </si>
  <si>
    <t>Friburg</t>
  </si>
  <si>
    <t>Friborgo</t>
  </si>
  <si>
    <t>&lt;Zeilentitel_2.11&gt;</t>
  </si>
  <si>
    <t>Solothurn</t>
  </si>
  <si>
    <t>Soloturn</t>
  </si>
  <si>
    <t>Soletta</t>
  </si>
  <si>
    <t>&lt;Zeilentitel_2.12&gt;</t>
  </si>
  <si>
    <t>Basel-Stadt</t>
  </si>
  <si>
    <t>Basilea-Citad</t>
  </si>
  <si>
    <t>Basilea Città</t>
  </si>
  <si>
    <t>&lt;Zeilentitel_2.13&gt;</t>
  </si>
  <si>
    <t>Basel-Landschaft</t>
  </si>
  <si>
    <t>Basilea-Champagna</t>
  </si>
  <si>
    <t>Basilea Campagna</t>
  </si>
  <si>
    <t>&lt;Zeilentitel_2.14&gt;</t>
  </si>
  <si>
    <t>Schaffhausen</t>
  </si>
  <si>
    <t>Schaffusa</t>
  </si>
  <si>
    <t>Sciaffusa</t>
  </si>
  <si>
    <t>&lt;Zeilentitel_2.15&gt;</t>
  </si>
  <si>
    <t>Appenzell Ausserrhoden</t>
  </si>
  <si>
    <t>Appenzell Dadora</t>
  </si>
  <si>
    <t>Appenzello Esterno</t>
  </si>
  <si>
    <t>&lt;Zeilentitel_2.16&gt;</t>
  </si>
  <si>
    <t>Appenzell Innerrhoden</t>
  </si>
  <si>
    <t>Appenzell Dadens</t>
  </si>
  <si>
    <t>Appenzello Interno</t>
  </si>
  <si>
    <t>&lt;Zeilentitel_2.17&gt;</t>
  </si>
  <si>
    <t>St. Gallen</t>
  </si>
  <si>
    <t>Son Gagl</t>
  </si>
  <si>
    <t>San Gallo</t>
  </si>
  <si>
    <t>&lt;Zeilentitel_2.18&gt;</t>
  </si>
  <si>
    <t>Graubünden</t>
  </si>
  <si>
    <t>Grischun</t>
  </si>
  <si>
    <t>Grigioni</t>
  </si>
  <si>
    <t>&lt;Zeilentitel_2.19&gt;</t>
  </si>
  <si>
    <t>Aargau</t>
  </si>
  <si>
    <t>Argovia</t>
  </si>
  <si>
    <t>&lt;Zeilentitel_2.20&gt;</t>
  </si>
  <si>
    <t>Thurgau</t>
  </si>
  <si>
    <t>Turgovia</t>
  </si>
  <si>
    <t>&lt;Zeilentitel_2.21&gt;</t>
  </si>
  <si>
    <t>Ticino</t>
  </si>
  <si>
    <t>Tessin</t>
  </si>
  <si>
    <t>&lt;Zeilentitel_2.22&gt;</t>
  </si>
  <si>
    <t>Vaud</t>
  </si>
  <si>
    <t>Vad</t>
  </si>
  <si>
    <t>&lt;Zeilentitel_2.23&gt;</t>
  </si>
  <si>
    <t>Wallis</t>
  </si>
  <si>
    <t>Vallais</t>
  </si>
  <si>
    <t>Vallese</t>
  </si>
  <si>
    <t>&lt;Zeilentitel_2.24&gt;</t>
  </si>
  <si>
    <t>Neuchâtel</t>
  </si>
  <si>
    <t>&lt;Zeilentitel_2.25&gt;</t>
  </si>
  <si>
    <t>Genève</t>
  </si>
  <si>
    <t>Genevra</t>
  </si>
  <si>
    <t>Ginevra</t>
  </si>
  <si>
    <t>&lt;Zeilentitel_2.26&gt;</t>
  </si>
  <si>
    <t>Jura</t>
  </si>
  <si>
    <t>Giura</t>
  </si>
  <si>
    <t>&lt;Legende_1&gt;</t>
  </si>
  <si>
    <t>(): Extrapolation aufgrund von 49 oder weniger Beobachtungen. Die Resultate sind mit grosser Vorsicht zu interpretieren.</t>
  </si>
  <si>
    <t>(): Extrapolaziun sin basa da 49 u damain observaziuns. Ils resultats ston vegnir interpretads cun gronda precauziun.</t>
  </si>
  <si>
    <t>(): Estrapolazione basata su meno di 50 osservazioni. I risultati sono da interpretare con molta precauzione.</t>
  </si>
  <si>
    <t>&lt;Legende_2&gt;</t>
  </si>
  <si>
    <t>X: Extrapolation aufgrund von 4 oder weniger Beobachtungen. Die Resultate werden aus Gründen des Datenschutzes nicht publiziert.</t>
  </si>
  <si>
    <t>X: Extrapolaziun pervia da 4 u damain observaziuns. Per motivs da la protecziun da datas na vegnan ils resultats betg publitgads.</t>
  </si>
  <si>
    <t>X : Estrapolazione basata su meno di 5 osservazioni. I risultati non sono pubblicati per ragioni legate alla protezione dei dati.</t>
  </si>
  <si>
    <t>&lt;Legende_3&gt;</t>
  </si>
  <si>
    <t>Die Grundgesamtheit der Strukturerhebung enthält alle Personen der ständigen Wohnbevölkerung ab vollendetem 15. Altersjahr, die in Privathaushalten leben.</t>
  </si>
  <si>
    <t>La survista da basa da l'enquista da structura cumpiglia tut las persunas da la populaziun residenta permanenta a partir da 15 onns che vivan en chasadas privatas.</t>
  </si>
  <si>
    <t>L'universo di base della rilevazione strutturale comprende tutte le persone facenti parte della popolazione residente permanente di 15 anni e più che vivono in un'economia domestica.</t>
  </si>
  <si>
    <t>&lt;Legende_4&gt;</t>
  </si>
  <si>
    <t>Aus der Grundgesamtheit ausgeschlossen wurden neben den Personen, die in Kollektivhaushalten leben, auch Diplomaten, internationale Funktionäre und deren Angehörige.</t>
  </si>
  <si>
    <t>Exclus da la totalitad fundamentala èn vegnids ultra da las persunas che vivan en chasadas collectivas er diplomats, funcziunaris internaziunals e lur confamigliars.</t>
  </si>
  <si>
    <t>Sono esclusi diplomatici, i funzionari internazionali ed i loro familiari e le persone che vivono in una collettività.</t>
  </si>
  <si>
    <t>&lt;Legende_5&gt;</t>
  </si>
  <si>
    <t>&lt;Quelle_1&gt;</t>
  </si>
  <si>
    <t>Quelle: BFS (Strukturerhebung)</t>
  </si>
  <si>
    <t>Funtauna: UST (enquista da structura)</t>
  </si>
  <si>
    <t>Fonte: UST (Rilevazione strutturale)</t>
  </si>
  <si>
    <t>&lt;Aktualisierung&gt;</t>
  </si>
  <si>
    <t>T2</t>
  </si>
  <si>
    <t>&lt;T2Zeilentitel_1&gt;</t>
  </si>
  <si>
    <t>&lt;T2Zeilentitel_2&gt;</t>
  </si>
  <si>
    <t>Geschlecht</t>
  </si>
  <si>
    <t>Sesso</t>
  </si>
  <si>
    <t>&lt;T2Zeilentitel_3&gt;</t>
  </si>
  <si>
    <t>Alter</t>
  </si>
  <si>
    <t>Età</t>
  </si>
  <si>
    <t>&lt;T2Zeilentitel_4&gt;</t>
  </si>
  <si>
    <t>Staatsangehörigkeit</t>
  </si>
  <si>
    <t>Naziunalitad</t>
  </si>
  <si>
    <t>&lt;T2Zeilentitel_5&gt;</t>
  </si>
  <si>
    <t>Migrationsstatus</t>
  </si>
  <si>
    <t>Status da migraziun</t>
  </si>
  <si>
    <t>&lt;T2Zeilentitel_6&gt;</t>
  </si>
  <si>
    <t>Sozioprofessionelle Kategorien</t>
  </si>
  <si>
    <t>Categorias socioprofessiunalas</t>
  </si>
  <si>
    <t>&lt;T2Zeilentitel_7&gt;</t>
  </si>
  <si>
    <t>Höchste abgeschlossene Ausbildung</t>
  </si>
  <si>
    <t>La pli auta scolaziun terminada</t>
  </si>
  <si>
    <t>&lt;T2Zeilentitel_2.1&gt;</t>
  </si>
  <si>
    <t>Männer</t>
  </si>
  <si>
    <t>Umens</t>
  </si>
  <si>
    <t>&lt;T2Zeilentitel_2.2&gt;</t>
  </si>
  <si>
    <t>Frauen</t>
  </si>
  <si>
    <t>Dunnas</t>
  </si>
  <si>
    <t>&lt;T2Zeilentitel_3.1&gt;</t>
  </si>
  <si>
    <t>15-24</t>
  </si>
  <si>
    <t>&lt;T2Zeilentitel_3.2&gt;</t>
  </si>
  <si>
    <t>25-44</t>
  </si>
  <si>
    <t>&lt;T2Zeilentitel_3.3&gt;</t>
  </si>
  <si>
    <t>45-64</t>
  </si>
  <si>
    <t>&lt;T2Zeilentitel_3.4&gt;</t>
  </si>
  <si>
    <t>65 und mehr</t>
  </si>
  <si>
    <t>65 e dapli</t>
  </si>
  <si>
    <t>&lt;T2Zeilentitel_4.1&gt;</t>
  </si>
  <si>
    <t>Schweiz</t>
  </si>
  <si>
    <t>Svizra</t>
  </si>
  <si>
    <t>&lt;T2Zeilentitel_4.2&gt;</t>
  </si>
  <si>
    <t>EU28 und EFTA</t>
  </si>
  <si>
    <t>UE28 ed AECL</t>
  </si>
  <si>
    <t>&lt;T2Zeilentitel_4.3&gt;</t>
  </si>
  <si>
    <t>Andere europäische Staaten</t>
  </si>
  <si>
    <t>Auters stadis europeics</t>
  </si>
  <si>
    <t>&lt;T2Zeilentitel_4.4&gt;</t>
  </si>
  <si>
    <t>Andere Staaten</t>
  </si>
  <si>
    <t>Auters stadis</t>
  </si>
  <si>
    <t>&lt;T2Zeilentitel_4.5&gt;</t>
  </si>
  <si>
    <t>Staatsangehörigkeit unbekannt</t>
  </si>
  <si>
    <t>Naziunalitad n'è betg enconuschenta</t>
  </si>
  <si>
    <t>&lt;T2Zeilentitel_5.1&gt;</t>
  </si>
  <si>
    <t>Schweizer/innen ohne Migrationshintergrund</t>
  </si>
  <si>
    <t>Svizzers senza retroterra da migraziun</t>
  </si>
  <si>
    <t>&lt;T2Zeilentitel_5.2&gt;</t>
  </si>
  <si>
    <t>Schweizer/innen mit Migrationshintergrund</t>
  </si>
  <si>
    <t>Svizzers cun ina migraziun</t>
  </si>
  <si>
    <t>&lt;T2Zeilentitel_5.3&gt;</t>
  </si>
  <si>
    <t>Ausländer/innen der ersten Generation</t>
  </si>
  <si>
    <t>Persunas estras da l'emprima generaziun</t>
  </si>
  <si>
    <t>&lt;T2Zeilentitel_5.4&gt;</t>
  </si>
  <si>
    <t>Ausländer/innen der zweiten und höheren Generation</t>
  </si>
  <si>
    <t>Persunas estras da la segunda generaziun e da l'emprima</t>
  </si>
  <si>
    <t>&lt;T2Zeilentitel_5.5&gt;</t>
  </si>
  <si>
    <t>Migrationshintergrund unbekannt</t>
  </si>
  <si>
    <t>La migraziun n'è betg enconuschenta</t>
  </si>
  <si>
    <t>&lt;T2Zeilentitel_6.1&gt;</t>
  </si>
  <si>
    <t>Oberstes Management</t>
  </si>
  <si>
    <t>Management suprem</t>
  </si>
  <si>
    <t>&lt;T2Zeilentitel_6.2&gt;</t>
  </si>
  <si>
    <t>Freie und gleichgestellte Berufe</t>
  </si>
  <si>
    <t>Professiuns libras ed egualas</t>
  </si>
  <si>
    <t>&lt;T2Zeilentitel_6.3&gt;</t>
  </si>
  <si>
    <t>Andere Selbstständige</t>
  </si>
  <si>
    <t>Autras persunas independentas</t>
  </si>
  <si>
    <t>&lt;T2Zeilentitel_6.4&gt;</t>
  </si>
  <si>
    <t>Akademische Berufe und oberes Kader</t>
  </si>
  <si>
    <t>Professiuns academicas e cader superiur</t>
  </si>
  <si>
    <t>Intermediäre Berufe</t>
  </si>
  <si>
    <t>Professiuns intermediaras</t>
  </si>
  <si>
    <t>Qualifizierte nichtmanuelle Berufe</t>
  </si>
  <si>
    <t>Professiuns betg manualas qualifitgadas</t>
  </si>
  <si>
    <t>Qualifizierte manuelle Berufe</t>
  </si>
  <si>
    <t>Professiuns manualas qualifitgadas</t>
  </si>
  <si>
    <t>Lernende in dualer beruflicher Grundbildung (Lehrlinge)</t>
  </si>
  <si>
    <t>Emprendistas ed emprendists en ina furmaziun fundamentala professiunala dubla (emprendists)</t>
  </si>
  <si>
    <t>Erwerbslose und Nichterwerbspersonen</t>
  </si>
  <si>
    <t>Persunas senza activitad da gudogn e persunas senza activitad da gudogn</t>
  </si>
  <si>
    <t>&lt;T2Zeilentitel_7.1&gt;</t>
  </si>
  <si>
    <t>&lt;T2Zeilentitel_7.2&gt;</t>
  </si>
  <si>
    <t>Sekundarstufe II</t>
  </si>
  <si>
    <t>Stgalim secundar II</t>
  </si>
  <si>
    <t>&lt;T2Zeilentitel_7.3&gt;</t>
  </si>
  <si>
    <t>Tertiärstufe</t>
  </si>
  <si>
    <t>Stgalim terziar</t>
  </si>
  <si>
    <t>&lt;T2Aktualisierung&gt;</t>
  </si>
  <si>
    <t>&lt;T2Titel&gt;</t>
  </si>
  <si>
    <t>Cittadinanza</t>
  </si>
  <si>
    <t>Passato migratorio</t>
  </si>
  <si>
    <t>Categorie socio-professionali</t>
  </si>
  <si>
    <t>Formazione più elevata conclusa</t>
  </si>
  <si>
    <t>Uomini</t>
  </si>
  <si>
    <t>Donne</t>
  </si>
  <si>
    <t>65 e più</t>
  </si>
  <si>
    <t>Svizzera</t>
  </si>
  <si>
    <t>UE e AELS</t>
  </si>
  <si>
    <t>Altro paese europeo</t>
  </si>
  <si>
    <t>Paese extraeuropeo</t>
  </si>
  <si>
    <t>Cittadinanza sconosciuta</t>
  </si>
  <si>
    <t>Svizzeri/e senza un passato migratorio</t>
  </si>
  <si>
    <t>Svizzeri/e con un passato migratorio</t>
  </si>
  <si>
    <t>Stranieri/e di prima generazione</t>
  </si>
  <si>
    <t>Stranieri/e di seconda generazione e più</t>
  </si>
  <si>
    <t>Passato migratorio sconosciuto</t>
  </si>
  <si>
    <t>Management superiore</t>
  </si>
  <si>
    <t>Professioni liberali ed equiparate</t>
  </si>
  <si>
    <t>Altri indipendenti</t>
  </si>
  <si>
    <t>Professioni accademiche e quadri superiori</t>
  </si>
  <si>
    <t>Professioni intermediarie</t>
  </si>
  <si>
    <t>Professioni qualificate non manuali</t>
  </si>
  <si>
    <t>Professioni qualificate manuali</t>
  </si>
  <si>
    <t>Impiegati e operai non qualificati</t>
  </si>
  <si>
    <t>Persone in formazione professionale di base duale (apprendisti)</t>
  </si>
  <si>
    <t>Occupati non attribuibili (dati di base mancanti)</t>
  </si>
  <si>
    <t>Disoccupati e persone senza attività professionale</t>
  </si>
  <si>
    <t>Senza formazione postobbligatoria</t>
  </si>
  <si>
    <t>Livello secondario II</t>
  </si>
  <si>
    <t>Livello terziario</t>
  </si>
  <si>
    <t>Letztmals aktualisiert am: 26.01.2024</t>
  </si>
  <si>
    <t>Ultima actualisaziun: 26.01.2024</t>
  </si>
  <si>
    <t>Ulimo aggiornamento: 26.01.2024</t>
  </si>
  <si>
    <t>X</t>
  </si>
  <si>
    <t>Total Pendler/-innen zur Arbeitsstätte</t>
  </si>
  <si>
    <t xml:space="preserve">Langsamverkehr </t>
  </si>
  <si>
    <t>Motorisierter Individualverkehr</t>
  </si>
  <si>
    <t xml:space="preserve">Öffentlicher Verkehr </t>
  </si>
  <si>
    <t>Übrige Verkehrsmittel</t>
  </si>
  <si>
    <t>Erwerbstätige Nichtpendler/-innen</t>
  </si>
  <si>
    <t>&lt;Legende_6&gt;</t>
  </si>
  <si>
    <t>&lt;Legende_7&gt;</t>
  </si>
  <si>
    <t>&lt;Legende_8&gt;</t>
  </si>
  <si>
    <t>Langsamverkehr: zu Fuss, Velo, elektrisches Velo</t>
  </si>
  <si>
    <t>Motorisierter Individualverkehr: Auto, Motorrad, Werkbus</t>
  </si>
  <si>
    <t>Öffentlicher Verkehr: Eisenbahn, Tram, Metro, Autobus</t>
  </si>
  <si>
    <t>Andere Verkehrsmittel: Schiff, Seilbahn, Trottinett</t>
  </si>
  <si>
    <t>Principale mezzo di trasporto usato per recarsi al lavoro (aggregato) secondo diverse caratteristiche socio-demografiche e il Cantone</t>
  </si>
  <si>
    <t>Hauptverkehrsmittel zur Arbeitsstätte nach verschiedenen soziodemografischen Merkmalen und Kanton</t>
  </si>
  <si>
    <t>Totale dei pendolari ai luogo del lavoro</t>
  </si>
  <si>
    <t>Traffico lento</t>
  </si>
  <si>
    <t>Trasporto privato motorizzato</t>
  </si>
  <si>
    <t>Trasporto pubblico</t>
  </si>
  <si>
    <t>Altri mezzi di trasporto</t>
  </si>
  <si>
    <t>Occupati non pendolari</t>
  </si>
  <si>
    <t>Traffico lento: a piedi, bicicletta, bicicletta elettrica</t>
  </si>
  <si>
    <t>Trasporto privato motorizzato: automobile, motocicletta, bus aziendale</t>
  </si>
  <si>
    <t>Trasporto pubblico: treno, tram, metropolitana</t>
  </si>
  <si>
    <t>Med da transport principal al lieu da lavur tenor differentas caracteristicas sociodemograficas e tenor il chantun</t>
  </si>
  <si>
    <t>Total pendularis al lieu da lavur</t>
  </si>
  <si>
    <t>Traffic individual motorisà</t>
  </si>
  <si>
    <t>Ulteriurs meds da transport</t>
  </si>
  <si>
    <t xml:space="preserve">Traffic betg motorisà </t>
  </si>
  <si>
    <t xml:space="preserve">Traffic public </t>
  </si>
  <si>
    <t>Persunas che n'han betg in'activitad da gudogn</t>
  </si>
  <si>
    <t>Traffic betg motorisà: a pe, velo, velo electric</t>
  </si>
  <si>
    <t>Traffic individual motorisà: auto, moto, bus da lavur</t>
  </si>
  <si>
    <t>Traffic public: viafier, tram, metro, bus</t>
  </si>
  <si>
    <t>Auters meds da traffic: bastiment, pendiculara, trottinet</t>
  </si>
  <si>
    <t>Arbeitsmarktstatus</t>
  </si>
  <si>
    <t>&lt;T2Zeilentitel_8&gt;</t>
  </si>
  <si>
    <t>Vollzeiterwerbstätige (90-100%)</t>
  </si>
  <si>
    <t>Teilzeiterwerbstätige I (70-89%)</t>
  </si>
  <si>
    <t>Teilzeiterwerbstätige II (50-69%)</t>
  </si>
  <si>
    <t>Teilzeiterwerbstätige III (weniger als 50%)</t>
  </si>
  <si>
    <t>&lt;T2Zeilentitel_7.4&gt;</t>
  </si>
  <si>
    <t>&lt;T2Zeilentitel_7.5&gt;</t>
  </si>
  <si>
    <t>&lt;T2Zeilentitel_7.6&gt;</t>
  </si>
  <si>
    <t>&lt;T2Zeilentitel_7.7&gt;</t>
  </si>
  <si>
    <t>&lt;T2Zeilentitel_7.8&gt;</t>
  </si>
  <si>
    <t>&lt;T2Zeilentitel_7.9&gt;</t>
  </si>
  <si>
    <t>&lt;T2Zeilentitel_7.10&gt;</t>
  </si>
  <si>
    <t>Ungelernte Angestellte und Arbeiter/innen</t>
  </si>
  <si>
    <t>Nicht zuteilbare Erwerbstätige (fehlende oder unklare Basisdaten)</t>
  </si>
  <si>
    <t>Ohne nachobligatorische Ausbildung</t>
  </si>
  <si>
    <t>&lt;T2Zeilentitel_8.1&gt;</t>
  </si>
  <si>
    <t>&lt;T2Zeilentitel_8.2&gt;</t>
  </si>
  <si>
    <t>&lt;T2Zeilentitel_8.3&gt;</t>
  </si>
  <si>
    <t>Hauptverkehrsmittel zur Arbeitsstätte (aggregiert) nach verschiedenen soziodemografischen Merkmalen im Kanton Graubünden</t>
  </si>
  <si>
    <t>Posizione nel mercato del lavoro</t>
  </si>
  <si>
    <t>Occupati a tempo pieno (90-100%)</t>
  </si>
  <si>
    <t>Occupati a tempo parziale I (70-89%)</t>
  </si>
  <si>
    <t>Occupati a tempo parziale II (50-69%)</t>
  </si>
  <si>
    <t>Occupati a tempo parziale III (meno di 50%)</t>
  </si>
  <si>
    <t>Principale mezzo di trasporto usato per recarsi al lavoro (aggregato) secondo diverse caratteristiche socio-demografiche nel cantone dei Grigioni</t>
  </si>
  <si>
    <t>Med da transport principal al lieu da lavur (agregulà) tenor differentas caracteristicas sociodemograficas en il chantun Grischun</t>
  </si>
  <si>
    <t>Persunas cun activitad da gudogn a temp cumplain (90-100%)</t>
  </si>
  <si>
    <t>Persunas cun activitad da gudogn a temp parzial I (70-89%)</t>
  </si>
  <si>
    <t>Persunas cun activitad da gudogn a temp parzial II (50-69%)</t>
  </si>
  <si>
    <t>Persunas cun activitad da gudogn a temp parzial III (main che 50%)</t>
  </si>
  <si>
    <t>Emploiadas e lavurants betg emprendids</t>
  </si>
  <si>
    <t>Persunas cun activitad da gudogn che na pon betg vegnir attribuidas (datas da basa mancantas u betg cleras)</t>
  </si>
  <si>
    <t>Senza scolaziun postobligatorica</t>
  </si>
  <si>
    <t>Status dal martgà da lavur</t>
  </si>
  <si>
    <t>Vegliandrament</t>
  </si>
  <si>
    <t>Schlattaina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</si>
</sst>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_ ;\-#,##0\ "/>
    <numFmt numFmtId="167" formatCode="0.0"/>
    <numFmt numFmtId="168" formatCode="\(0.0\)"/>
    <numFmt numFmtId="169" formatCode="_-* #,##0.00\ _€_-;\-* #,##0.00\ _€_-;_-* &quot;-&quot;??\ _€_-;_-@_-"/>
    <numFmt numFmtId="170" formatCode="* #,###"/>
    <numFmt numFmtId="171" formatCode="\(0\)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143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3" applyFont="1" applyFill="1" applyAlignment="1">
      <alignment horizontal="left" vertical="top"/>
    </xf>
    <xf numFmtId="164" fontId="8" fillId="2" borderId="0" xfId="4" applyNumberFormat="1" applyFont="1" applyFill="1" applyBorder="1" applyAlignment="1" applyProtection="1">
      <alignment horizontal="left" vertical="top"/>
    </xf>
    <xf numFmtId="0" fontId="9" fillId="2" borderId="0" xfId="3" applyFont="1" applyFill="1" applyAlignment="1">
      <alignment horizontal="right" vertical="center"/>
    </xf>
    <xf numFmtId="0" fontId="3" fillId="2" borderId="0" xfId="0" applyFont="1" applyFill="1"/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3" fontId="4" fillId="2" borderId="0" xfId="1" applyNumberFormat="1" applyFont="1" applyFill="1" applyBorder="1" applyAlignment="1" applyProtection="1">
      <alignment horizontal="right" wrapText="1"/>
    </xf>
    <xf numFmtId="165" fontId="4" fillId="2" borderId="0" xfId="2" applyNumberFormat="1" applyFont="1" applyFill="1" applyBorder="1" applyAlignment="1" applyProtection="1">
      <alignment horizontal="right" wrapText="1"/>
    </xf>
    <xf numFmtId="166" fontId="4" fillId="2" borderId="0" xfId="1" applyNumberFormat="1" applyFont="1" applyFill="1" applyBorder="1" applyAlignment="1" applyProtection="1">
      <alignment horizontal="right" wrapText="1"/>
    </xf>
    <xf numFmtId="165" fontId="4" fillId="2" borderId="0" xfId="1" applyNumberFormat="1" applyFont="1" applyFill="1" applyBorder="1" applyAlignment="1" applyProtection="1">
      <alignment horizontal="right" wrapText="1"/>
    </xf>
    <xf numFmtId="0" fontId="11" fillId="4" borderId="0" xfId="0" applyFont="1" applyFill="1" applyAlignment="1">
      <alignment horizontal="left" vertical="top"/>
    </xf>
    <xf numFmtId="0" fontId="10" fillId="2" borderId="4" xfId="0" applyFont="1" applyFill="1" applyBorder="1" applyAlignment="1">
      <alignment horizontal="left" vertical="top" wrapText="1"/>
    </xf>
    <xf numFmtId="167" fontId="4" fillId="2" borderId="0" xfId="6" applyNumberFormat="1" applyFont="1" applyFill="1" applyBorder="1" applyAlignment="1" applyProtection="1">
      <alignment horizontal="right" vertical="center" wrapText="1"/>
    </xf>
    <xf numFmtId="3" fontId="4" fillId="2" borderId="0" xfId="6" applyNumberFormat="1" applyFont="1" applyFill="1" applyBorder="1" applyAlignment="1" applyProtection="1">
      <alignment horizontal="right" vertical="center" wrapText="1"/>
    </xf>
    <xf numFmtId="171" fontId="4" fillId="2" borderId="0" xfId="6" applyNumberFormat="1" applyFont="1" applyFill="1" applyBorder="1" applyAlignment="1" applyProtection="1">
      <alignment horizontal="right" vertical="center" wrapText="1"/>
    </xf>
    <xf numFmtId="168" fontId="4" fillId="2" borderId="0" xfId="6" applyNumberFormat="1" applyFont="1" applyFill="1" applyBorder="1" applyAlignment="1" applyProtection="1">
      <alignment horizontal="right" vertical="center" wrapText="1"/>
    </xf>
    <xf numFmtId="167" fontId="4" fillId="2" borderId="9" xfId="6" applyNumberFormat="1" applyFont="1" applyFill="1" applyBorder="1" applyAlignment="1" applyProtection="1">
      <alignment horizontal="right" vertical="center" wrapText="1"/>
    </xf>
    <xf numFmtId="168" fontId="4" fillId="2" borderId="9" xfId="6" applyNumberFormat="1" applyFont="1" applyFill="1" applyBorder="1" applyAlignment="1" applyProtection="1">
      <alignment horizontal="right" vertical="center" wrapText="1"/>
    </xf>
    <xf numFmtId="3" fontId="4" fillId="2" borderId="8" xfId="6" applyNumberFormat="1" applyFont="1" applyFill="1" applyBorder="1" applyAlignment="1" applyProtection="1">
      <alignment horizontal="right" vertical="center" wrapText="1"/>
    </xf>
    <xf numFmtId="171" fontId="4" fillId="2" borderId="8" xfId="6" applyNumberFormat="1" applyFont="1" applyFill="1" applyBorder="1" applyAlignment="1" applyProtection="1">
      <alignment horizontal="right" vertical="center" wrapText="1"/>
    </xf>
    <xf numFmtId="0" fontId="7" fillId="4" borderId="0" xfId="0" applyFont="1" applyFill="1" applyAlignment="1">
      <alignment horizontal="left" vertical="top"/>
    </xf>
    <xf numFmtId="0" fontId="11" fillId="4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vertical="top" wrapText="1"/>
    </xf>
    <xf numFmtId="167" fontId="4" fillId="3" borderId="9" xfId="6" applyNumberFormat="1" applyFont="1" applyFill="1" applyBorder="1" applyAlignment="1" applyProtection="1">
      <alignment horizontal="right" vertical="center" wrapText="1"/>
    </xf>
    <xf numFmtId="3" fontId="4" fillId="3" borderId="8" xfId="6" applyNumberFormat="1" applyFont="1" applyFill="1" applyBorder="1" applyAlignment="1" applyProtection="1">
      <alignment horizontal="right" vertical="center" wrapText="1"/>
    </xf>
    <xf numFmtId="167" fontId="4" fillId="3" borderId="0" xfId="6" applyNumberFormat="1" applyFont="1" applyFill="1" applyBorder="1" applyAlignment="1" applyProtection="1">
      <alignment horizontal="right" vertical="center" wrapText="1"/>
    </xf>
    <xf numFmtId="3" fontId="4" fillId="3" borderId="0" xfId="6" applyNumberFormat="1" applyFont="1" applyFill="1" applyBorder="1" applyAlignment="1" applyProtection="1">
      <alignment horizontal="right" vertical="center" wrapText="1"/>
    </xf>
    <xf numFmtId="0" fontId="2" fillId="2" borderId="0" xfId="0" applyFont="1" applyFill="1"/>
    <xf numFmtId="0" fontId="2" fillId="0" borderId="0" xfId="0" applyFont="1"/>
    <xf numFmtId="0" fontId="2" fillId="8" borderId="0" xfId="0" applyFont="1" applyFill="1"/>
    <xf numFmtId="167" fontId="2" fillId="2" borderId="6" xfId="6" applyNumberFormat="1" applyFont="1" applyFill="1" applyBorder="1" applyAlignment="1" applyProtection="1">
      <alignment horizontal="right" vertical="center" wrapText="1"/>
    </xf>
    <xf numFmtId="167" fontId="2" fillId="2" borderId="5" xfId="6" applyNumberFormat="1" applyFont="1" applyFill="1" applyBorder="1" applyAlignment="1" applyProtection="1">
      <alignment horizontal="right" vertical="center" wrapText="1"/>
    </xf>
    <xf numFmtId="167" fontId="2" fillId="2" borderId="9" xfId="6" applyNumberFormat="1" applyFont="1" applyFill="1" applyBorder="1" applyAlignment="1" applyProtection="1">
      <alignment horizontal="right" vertical="center" wrapText="1"/>
    </xf>
    <xf numFmtId="3" fontId="2" fillId="2" borderId="8" xfId="6" applyNumberFormat="1" applyFont="1" applyFill="1" applyBorder="1" applyAlignment="1" applyProtection="1">
      <alignment horizontal="right" vertical="center" wrapText="1"/>
    </xf>
    <xf numFmtId="167" fontId="2" fillId="2" borderId="0" xfId="6" applyNumberFormat="1" applyFont="1" applyFill="1" applyBorder="1" applyAlignment="1" applyProtection="1">
      <alignment horizontal="right" vertical="center" wrapText="1"/>
    </xf>
    <xf numFmtId="3" fontId="2" fillId="2" borderId="0" xfId="6" applyNumberFormat="1" applyFont="1" applyFill="1" applyBorder="1" applyAlignment="1" applyProtection="1">
      <alignment horizontal="right" vertical="center" wrapText="1"/>
    </xf>
    <xf numFmtId="171" fontId="2" fillId="2" borderId="8" xfId="6" applyNumberFormat="1" applyFont="1" applyFill="1" applyBorder="1" applyAlignment="1" applyProtection="1">
      <alignment horizontal="right" vertical="center" wrapText="1"/>
    </xf>
    <xf numFmtId="168" fontId="2" fillId="2" borderId="0" xfId="6" applyNumberFormat="1" applyFont="1" applyFill="1" applyBorder="1" applyAlignment="1" applyProtection="1">
      <alignment horizontal="right" vertical="center" wrapText="1"/>
    </xf>
    <xf numFmtId="168" fontId="2" fillId="2" borderId="9" xfId="6" applyNumberFormat="1" applyFont="1" applyFill="1" applyBorder="1" applyAlignment="1" applyProtection="1">
      <alignment horizontal="right" vertical="center" wrapText="1"/>
    </xf>
    <xf numFmtId="171" fontId="2" fillId="2" borderId="0" xfId="6" applyNumberFormat="1" applyFont="1" applyFill="1" applyBorder="1" applyAlignment="1" applyProtection="1">
      <alignment horizontal="right" vertical="center" wrapText="1"/>
    </xf>
    <xf numFmtId="167" fontId="2" fillId="2" borderId="13" xfId="6" applyNumberFormat="1" applyFont="1" applyFill="1" applyBorder="1" applyAlignment="1" applyProtection="1">
      <alignment horizontal="right" vertical="center" wrapText="1"/>
    </xf>
    <xf numFmtId="3" fontId="2" fillId="2" borderId="14" xfId="6" applyNumberFormat="1" applyFont="1" applyFill="1" applyBorder="1" applyAlignment="1" applyProtection="1">
      <alignment horizontal="right" vertical="center" wrapText="1"/>
    </xf>
    <xf numFmtId="167" fontId="2" fillId="2" borderId="1" xfId="6" applyNumberFormat="1" applyFont="1" applyFill="1" applyBorder="1" applyAlignment="1" applyProtection="1">
      <alignment horizontal="right" vertical="center" wrapText="1"/>
    </xf>
    <xf numFmtId="3" fontId="2" fillId="2" borderId="1" xfId="6" applyNumberFormat="1" applyFont="1" applyFill="1" applyBorder="1" applyAlignment="1" applyProtection="1">
      <alignment horizontal="right" vertical="center" wrapText="1"/>
    </xf>
    <xf numFmtId="171" fontId="2" fillId="2" borderId="14" xfId="6" applyNumberFormat="1" applyFont="1" applyFill="1" applyBorder="1" applyAlignment="1" applyProtection="1">
      <alignment horizontal="right" vertical="center" wrapText="1"/>
    </xf>
    <xf numFmtId="168" fontId="2" fillId="2" borderId="1" xfId="6" applyNumberFormat="1" applyFont="1" applyFill="1" applyBorder="1" applyAlignment="1" applyProtection="1">
      <alignment horizontal="right" vertical="center" wrapText="1"/>
    </xf>
    <xf numFmtId="168" fontId="2" fillId="2" borderId="13" xfId="6" applyNumberFormat="1" applyFont="1" applyFill="1" applyBorder="1" applyAlignment="1" applyProtection="1">
      <alignment horizontal="right" vertical="center" wrapText="1"/>
    </xf>
    <xf numFmtId="167" fontId="4" fillId="2" borderId="18" xfId="6" applyNumberFormat="1" applyFont="1" applyFill="1" applyBorder="1" applyAlignment="1" applyProtection="1">
      <alignment horizontal="right" vertical="center" wrapText="1"/>
    </xf>
    <xf numFmtId="3" fontId="4" fillId="2" borderId="19" xfId="6" applyNumberFormat="1" applyFont="1" applyFill="1" applyBorder="1" applyAlignment="1" applyProtection="1">
      <alignment horizontal="right" vertical="center" wrapText="1"/>
    </xf>
    <xf numFmtId="167" fontId="4" fillId="2" borderId="2" xfId="6" applyNumberFormat="1" applyFont="1" applyFill="1" applyBorder="1" applyAlignment="1" applyProtection="1">
      <alignment horizontal="right" vertical="center" wrapText="1"/>
    </xf>
    <xf numFmtId="3" fontId="4" fillId="2" borderId="2" xfId="6" applyNumberFormat="1" applyFont="1" applyFill="1" applyBorder="1" applyAlignment="1" applyProtection="1">
      <alignment horizontal="right" vertical="center" wrapText="1"/>
    </xf>
    <xf numFmtId="171" fontId="4" fillId="2" borderId="19" xfId="6" applyNumberFormat="1" applyFont="1" applyFill="1" applyBorder="1" applyAlignment="1" applyProtection="1">
      <alignment horizontal="right" vertical="center" wrapText="1"/>
    </xf>
    <xf numFmtId="168" fontId="4" fillId="2" borderId="2" xfId="6" applyNumberFormat="1" applyFont="1" applyFill="1" applyBorder="1" applyAlignment="1" applyProtection="1">
      <alignment horizontal="right" vertical="center" wrapText="1"/>
    </xf>
    <xf numFmtId="168" fontId="4" fillId="2" borderId="18" xfId="6" applyNumberFormat="1" applyFont="1" applyFill="1" applyBorder="1" applyAlignment="1" applyProtection="1">
      <alignment horizontal="right" vertical="center" wrapText="1"/>
    </xf>
    <xf numFmtId="0" fontId="10" fillId="0" borderId="17" xfId="0" applyFont="1" applyBorder="1" applyAlignment="1">
      <alignment vertical="center"/>
    </xf>
    <xf numFmtId="0" fontId="3" fillId="2" borderId="0" xfId="0" applyFont="1" applyFill="1" applyAlignment="1">
      <alignment horizontal="center"/>
    </xf>
    <xf numFmtId="0" fontId="10" fillId="0" borderId="0" xfId="0" applyFont="1" applyAlignment="1">
      <alignment vertical="top" wrapText="1"/>
    </xf>
    <xf numFmtId="167" fontId="2" fillId="2" borderId="18" xfId="6" applyNumberFormat="1" applyFont="1" applyFill="1" applyBorder="1" applyAlignment="1" applyProtection="1">
      <alignment horizontal="right" vertical="center" wrapText="1"/>
    </xf>
    <xf numFmtId="3" fontId="2" fillId="2" borderId="19" xfId="6" applyNumberFormat="1" applyFont="1" applyFill="1" applyBorder="1" applyAlignment="1" applyProtection="1">
      <alignment horizontal="right" vertical="center" wrapText="1"/>
    </xf>
    <xf numFmtId="167" fontId="2" fillId="2" borderId="2" xfId="6" applyNumberFormat="1" applyFont="1" applyFill="1" applyBorder="1" applyAlignment="1" applyProtection="1">
      <alignment horizontal="right" vertical="center" wrapText="1"/>
    </xf>
    <xf numFmtId="3" fontId="2" fillId="2" borderId="2" xfId="6" applyNumberFormat="1" applyFont="1" applyFill="1" applyBorder="1" applyAlignment="1" applyProtection="1">
      <alignment horizontal="right" vertical="center" wrapText="1"/>
    </xf>
    <xf numFmtId="171" fontId="2" fillId="2" borderId="19" xfId="6" applyNumberFormat="1" applyFont="1" applyFill="1" applyBorder="1" applyAlignment="1" applyProtection="1">
      <alignment horizontal="right" vertical="center" wrapText="1"/>
    </xf>
    <xf numFmtId="168" fontId="2" fillId="2" borderId="2" xfId="6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vertical="top" wrapText="1"/>
    </xf>
    <xf numFmtId="3" fontId="2" fillId="2" borderId="7" xfId="6" applyNumberFormat="1" applyFont="1" applyFill="1" applyBorder="1" applyAlignment="1" applyProtection="1">
      <alignment horizontal="right" vertical="center" wrapText="1"/>
    </xf>
    <xf numFmtId="3" fontId="2" fillId="2" borderId="5" xfId="6" applyNumberFormat="1" applyFont="1" applyFill="1" applyBorder="1" applyAlignment="1" applyProtection="1">
      <alignment horizontal="right" vertical="center" wrapText="1"/>
    </xf>
    <xf numFmtId="171" fontId="2" fillId="2" borderId="7" xfId="6" applyNumberFormat="1" applyFont="1" applyFill="1" applyBorder="1" applyAlignment="1" applyProtection="1">
      <alignment horizontal="right" vertical="center" wrapText="1"/>
    </xf>
    <xf numFmtId="168" fontId="2" fillId="2" borderId="5" xfId="6" applyNumberFormat="1" applyFont="1" applyFill="1" applyBorder="1" applyAlignment="1" applyProtection="1">
      <alignment horizontal="right" vertical="center" wrapText="1"/>
    </xf>
    <xf numFmtId="168" fontId="2" fillId="2" borderId="6" xfId="6" applyNumberFormat="1" applyFont="1" applyFill="1" applyBorder="1" applyAlignment="1" applyProtection="1">
      <alignment horizontal="right" vertical="center" wrapText="1"/>
    </xf>
    <xf numFmtId="171" fontId="2" fillId="2" borderId="1" xfId="6" applyNumberFormat="1" applyFont="1" applyFill="1" applyBorder="1" applyAlignment="1" applyProtection="1">
      <alignment horizontal="right" vertical="center" wrapText="1"/>
    </xf>
    <xf numFmtId="171" fontId="2" fillId="2" borderId="5" xfId="6" applyNumberFormat="1" applyFont="1" applyFill="1" applyBorder="1" applyAlignment="1" applyProtection="1">
      <alignment horizontal="right" vertical="center" wrapText="1"/>
    </xf>
    <xf numFmtId="167" fontId="12" fillId="2" borderId="6" xfId="6" applyNumberFormat="1" applyFont="1" applyFill="1" applyBorder="1" applyAlignment="1" applyProtection="1">
      <alignment horizontal="right" vertical="center" wrapText="1"/>
    </xf>
    <xf numFmtId="170" fontId="12" fillId="2" borderId="7" xfId="6" applyNumberFormat="1" applyFont="1" applyFill="1" applyBorder="1" applyAlignment="1" applyProtection="1">
      <alignment horizontal="right" vertical="center" wrapText="1"/>
    </xf>
    <xf numFmtId="167" fontId="12" fillId="2" borderId="5" xfId="6" applyNumberFormat="1" applyFont="1" applyFill="1" applyBorder="1" applyAlignment="1" applyProtection="1">
      <alignment horizontal="right" vertical="center" wrapText="1"/>
    </xf>
    <xf numFmtId="170" fontId="12" fillId="2" borderId="5" xfId="6" applyNumberFormat="1" applyFont="1" applyFill="1" applyBorder="1" applyAlignment="1" applyProtection="1">
      <alignment horizontal="right" vertical="center" wrapText="1"/>
    </xf>
    <xf numFmtId="0" fontId="12" fillId="5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2" borderId="0" xfId="3" applyFont="1" applyFill="1" applyBorder="1" applyAlignment="1">
      <alignment horizontal="left" vertical="top"/>
    </xf>
    <xf numFmtId="170" fontId="2" fillId="2" borderId="14" xfId="6" applyNumberFormat="1" applyFont="1" applyFill="1" applyBorder="1" applyAlignment="1" applyProtection="1">
      <alignment horizontal="right" vertical="center" wrapText="1"/>
    </xf>
    <xf numFmtId="170" fontId="2" fillId="2" borderId="1" xfId="6" applyNumberFormat="1" applyFont="1" applyFill="1" applyBorder="1" applyAlignment="1" applyProtection="1">
      <alignment horizontal="right" vertical="center" wrapText="1"/>
    </xf>
    <xf numFmtId="0" fontId="11" fillId="2" borderId="21" xfId="1" applyNumberFormat="1" applyFont="1" applyFill="1" applyBorder="1" applyAlignment="1" applyProtection="1">
      <alignment horizontal="right" vertical="top" wrapText="1"/>
    </xf>
    <xf numFmtId="0" fontId="11" fillId="2" borderId="31" xfId="2" applyNumberFormat="1" applyFont="1" applyFill="1" applyBorder="1" applyAlignment="1" applyProtection="1">
      <alignment horizontal="right" vertical="top" wrapText="1"/>
    </xf>
    <xf numFmtId="0" fontId="11" fillId="2" borderId="31" xfId="1" applyNumberFormat="1" applyFont="1" applyFill="1" applyBorder="1" applyAlignment="1" applyProtection="1">
      <alignment horizontal="right" vertical="top" wrapText="1"/>
    </xf>
    <xf numFmtId="0" fontId="11" fillId="2" borderId="32" xfId="2" applyNumberFormat="1" applyFont="1" applyFill="1" applyBorder="1" applyAlignment="1" applyProtection="1">
      <alignment horizontal="right" vertical="top" wrapText="1"/>
    </xf>
    <xf numFmtId="0" fontId="11" fillId="2" borderId="36" xfId="1" applyNumberFormat="1" applyFont="1" applyFill="1" applyBorder="1" applyAlignment="1" applyProtection="1">
      <alignment horizontal="right" vertical="top" wrapText="1"/>
    </xf>
    <xf numFmtId="0" fontId="11" fillId="2" borderId="37" xfId="2" applyNumberFormat="1" applyFont="1" applyFill="1" applyBorder="1" applyAlignment="1" applyProtection="1">
      <alignment horizontal="right" vertical="top" wrapText="1"/>
    </xf>
    <xf numFmtId="0" fontId="11" fillId="2" borderId="37" xfId="1" applyNumberFormat="1" applyFont="1" applyFill="1" applyBorder="1" applyAlignment="1" applyProtection="1">
      <alignment horizontal="right" vertical="top" wrapText="1"/>
    </xf>
    <xf numFmtId="0" fontId="11" fillId="2" borderId="38" xfId="2" applyNumberFormat="1" applyFont="1" applyFill="1" applyBorder="1" applyAlignment="1" applyProtection="1">
      <alignment horizontal="right" vertical="top" wrapText="1"/>
    </xf>
    <xf numFmtId="0" fontId="10" fillId="0" borderId="24" xfId="0" applyFont="1" applyBorder="1" applyAlignment="1">
      <alignment vertical="center"/>
    </xf>
    <xf numFmtId="0" fontId="0" fillId="2" borderId="0" xfId="0" applyFill="1" applyBorder="1"/>
    <xf numFmtId="167" fontId="12" fillId="2" borderId="39" xfId="6" applyNumberFormat="1" applyFont="1" applyFill="1" applyBorder="1" applyAlignment="1" applyProtection="1">
      <alignment horizontal="right" vertical="center" wrapText="1"/>
    </xf>
    <xf numFmtId="167" fontId="4" fillId="2" borderId="3" xfId="6" applyNumberFormat="1" applyFont="1" applyFill="1" applyBorder="1" applyAlignment="1" applyProtection="1">
      <alignment horizontal="right" vertical="center" wrapText="1"/>
    </xf>
    <xf numFmtId="168" fontId="4" fillId="2" borderId="3" xfId="6" applyNumberFormat="1" applyFont="1" applyFill="1" applyBorder="1" applyAlignment="1" applyProtection="1">
      <alignment horizontal="right" vertical="center" wrapText="1"/>
    </xf>
    <xf numFmtId="167" fontId="4" fillId="3" borderId="3" xfId="6" applyNumberFormat="1" applyFont="1" applyFill="1" applyBorder="1" applyAlignment="1" applyProtection="1">
      <alignment horizontal="right" vertical="center" wrapText="1"/>
    </xf>
    <xf numFmtId="168" fontId="4" fillId="2" borderId="40" xfId="6" applyNumberFormat="1" applyFont="1" applyFill="1" applyBorder="1" applyAlignment="1" applyProtection="1">
      <alignment horizontal="right" vertical="center" wrapText="1"/>
    </xf>
    <xf numFmtId="3" fontId="4" fillId="2" borderId="31" xfId="6" applyNumberFormat="1" applyFont="1" applyFill="1" applyBorder="1" applyAlignment="1" applyProtection="1">
      <alignment horizontal="left" vertical="center" wrapText="1"/>
    </xf>
    <xf numFmtId="3" fontId="4" fillId="3" borderId="31" xfId="6" applyNumberFormat="1" applyFont="1" applyFill="1" applyBorder="1" applyAlignment="1" applyProtection="1">
      <alignment horizontal="left" vertical="center" wrapText="1"/>
    </xf>
    <xf numFmtId="3" fontId="4" fillId="2" borderId="41" xfId="6" applyNumberFormat="1" applyFont="1" applyFill="1" applyBorder="1" applyAlignment="1" applyProtection="1">
      <alignment horizontal="left" vertical="center" wrapText="1"/>
    </xf>
    <xf numFmtId="0" fontId="12" fillId="6" borderId="0" xfId="0" applyFont="1" applyFill="1" applyBorder="1" applyAlignment="1">
      <alignment horizontal="left" vertical="top" wrapText="1"/>
    </xf>
    <xf numFmtId="167" fontId="2" fillId="2" borderId="42" xfId="6" applyNumberFormat="1" applyFont="1" applyFill="1" applyBorder="1" applyAlignment="1" applyProtection="1">
      <alignment horizontal="right" vertical="center" wrapText="1"/>
    </xf>
    <xf numFmtId="168" fontId="2" fillId="2" borderId="39" xfId="6" applyNumberFormat="1" applyFont="1" applyFill="1" applyBorder="1" applyAlignment="1" applyProtection="1">
      <alignment horizontal="right" vertical="center" wrapText="1"/>
    </xf>
    <xf numFmtId="168" fontId="2" fillId="2" borderId="42" xfId="6" applyNumberFormat="1" applyFont="1" applyFill="1" applyBorder="1" applyAlignment="1" applyProtection="1">
      <alignment horizontal="right" vertical="center" wrapText="1"/>
    </xf>
    <xf numFmtId="167" fontId="2" fillId="2" borderId="39" xfId="6" applyNumberFormat="1" applyFont="1" applyFill="1" applyBorder="1" applyAlignment="1" applyProtection="1">
      <alignment horizontal="right" vertical="center" wrapText="1"/>
    </xf>
    <xf numFmtId="167" fontId="2" fillId="2" borderId="3" xfId="6" applyNumberFormat="1" applyFont="1" applyFill="1" applyBorder="1" applyAlignment="1" applyProtection="1">
      <alignment horizontal="right" vertical="center" wrapText="1"/>
    </xf>
    <xf numFmtId="168" fontId="2" fillId="2" borderId="3" xfId="6" applyNumberFormat="1" applyFont="1" applyFill="1" applyBorder="1" applyAlignment="1" applyProtection="1">
      <alignment horizontal="right" vertical="center" wrapText="1"/>
    </xf>
    <xf numFmtId="167" fontId="2" fillId="2" borderId="40" xfId="6" applyNumberFormat="1" applyFont="1" applyFill="1" applyBorder="1" applyAlignment="1" applyProtection="1">
      <alignment horizontal="right" vertical="center" wrapText="1"/>
    </xf>
    <xf numFmtId="0" fontId="11" fillId="0" borderId="2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10" fillId="3" borderId="3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11" fillId="0" borderId="2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10" fillId="0" borderId="2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vertical="top"/>
    </xf>
  </cellXfs>
  <cellStyles count="14">
    <cellStyle name="Komma" xfId="1" builtinId="3"/>
    <cellStyle name="Komma 2" xfId="4"/>
    <cellStyle name="Komma 3" xfId="6"/>
    <cellStyle name="Normale 2" xfId="13"/>
    <cellStyle name="Prozent" xfId="2" builtinId="5"/>
    <cellStyle name="Prozent 2" xfId="5"/>
    <cellStyle name="Standard" xfId="0" builtinId="0"/>
    <cellStyle name="Standard 2" xfId="3"/>
    <cellStyle name="Standard 2 2" xfId="10"/>
    <cellStyle name="Standard 2 3" xfId="7"/>
    <cellStyle name="Standard 3" xfId="8"/>
    <cellStyle name="Standard 4" xfId="9"/>
    <cellStyle name="Standard 4 2" xfId="11"/>
    <cellStyle name="Standard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571499</xdr:colOff>
      <xdr:row>0</xdr:row>
      <xdr:rowOff>9524</xdr:rowOff>
    </xdr:from>
    <xdr:to>
      <xdr:col>6</xdr:col>
      <xdr:colOff>71099</xdr:colOff>
      <xdr:row>4</xdr:row>
      <xdr:rowOff>147524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991099" y="9524"/>
          <a:ext cx="2700000" cy="900000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857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5" name="Gruppieren 4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pSpPr/>
            </xdr:nvGrpSpPr>
            <xdr:grpSpPr>
              <a:xfrm>
                <a:off x="6553200" y="374273"/>
                <a:ext cx="1200152" cy="533405"/>
                <a:chOff x="6553200" y="374273"/>
                <a:chExt cx="1200152" cy="533405"/>
              </a:xfrm>
              <a:grpFill/>
            </xdr:grpSpPr>
            <xdr:sp macro="" textlink="">
              <xdr:nvSpPr>
                <xdr:cNvPr id="1025" name="Option Button 1" hidden="1">
                  <a:extLst>
                    <a:ext uri="{63B3BB69-23CF-44E3-9099-C40C66FF867C}">
                      <a14:compatExt spid="_x0000_s1025"/>
                    </a:ext>
                    <a:ext uri="{FF2B5EF4-FFF2-40B4-BE49-F238E27FC236}">
                      <a16:creationId xmlns:a16="http://schemas.microsoft.com/office/drawing/2014/main" id="{00000000-0008-0000-0000-000001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1026" name="Option Button 2" hidden="1">
                  <a:extLst>
                    <a:ext uri="{63B3BB69-23CF-44E3-9099-C40C66FF867C}">
                      <a14:compatExt spid="_x0000_s1026"/>
                    </a:ext>
                    <a:ext uri="{FF2B5EF4-FFF2-40B4-BE49-F238E27FC236}">
                      <a16:creationId xmlns:a16="http://schemas.microsoft.com/office/drawing/2014/main" id="{00000000-0008-0000-0000-000002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52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1027" name="Option Button 3" hidden="1">
                  <a:extLst>
                    <a:ext uri="{63B3BB69-23CF-44E3-9099-C40C66FF867C}">
                      <a14:compatExt spid="_x0000_s1027"/>
                    </a:ext>
                    <a:ext uri="{FF2B5EF4-FFF2-40B4-BE49-F238E27FC236}">
                      <a16:creationId xmlns:a16="http://schemas.microsoft.com/office/drawing/2014/main" id="{00000000-0008-0000-0000-000003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549275</xdr:colOff>
      <xdr:row>5</xdr:row>
      <xdr:rowOff>4202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28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3178175</xdr:colOff>
      <xdr:row>4</xdr:row>
      <xdr:rowOff>147077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09077"/>
        </a:xfrm>
        <a:prstGeom prst="rect">
          <a:avLst/>
        </a:prstGeom>
      </xdr:spPr>
    </xdr:pic>
    <xdr:clientData/>
  </xdr:twoCellAnchor>
  <xdr:twoCellAnchor>
    <xdr:from>
      <xdr:col>1</xdr:col>
      <xdr:colOff>3200399</xdr:colOff>
      <xdr:row>0</xdr:row>
      <xdr:rowOff>0</xdr:rowOff>
    </xdr:from>
    <xdr:to>
      <xdr:col>4</xdr:col>
      <xdr:colOff>594974</xdr:colOff>
      <xdr:row>4</xdr:row>
      <xdr:rowOff>138000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4991099" y="0"/>
          <a:ext cx="2700000" cy="900000"/>
          <a:chOff x="6010275" y="133350"/>
          <a:chExt cx="1919883" cy="819150"/>
        </a:xfrm>
        <a:solidFill>
          <a:srgbClr val="00B0F0"/>
        </a:solidFill>
      </xdr:grpSpPr>
      <xdr:sp macro="" textlink="">
        <xdr:nvSpPr>
          <xdr:cNvPr id="11" name="Rechteck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6010275" y="133350"/>
            <a:ext cx="1919883" cy="819150"/>
          </a:xfrm>
          <a:prstGeom prst="rect">
            <a:avLst/>
          </a:prstGeom>
          <a:grpFill/>
          <a:ln w="2857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2" name="Gruppieren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GrpSpPr/>
            </xdr:nvGrpSpPr>
            <xdr:grpSpPr>
              <a:xfrm>
                <a:off x="6512562" y="374273"/>
                <a:ext cx="1200152" cy="533405"/>
                <a:chOff x="6512562" y="374273"/>
                <a:chExt cx="1200152" cy="533405"/>
              </a:xfrm>
              <a:grpFill/>
            </xdr:grpSpPr>
            <xdr:sp macro="" textlink="">
              <xdr:nvSpPr>
                <xdr:cNvPr id="3079" name="Option Button 7" hidden="1">
                  <a:extLst>
                    <a:ext uri="{63B3BB69-23CF-44E3-9099-C40C66FF867C}">
                      <a14:compatExt spid="_x0000_s3079"/>
                    </a:ext>
                    <a:ext uri="{FF2B5EF4-FFF2-40B4-BE49-F238E27FC236}">
                      <a16:creationId xmlns:a16="http://schemas.microsoft.com/office/drawing/2014/main" id="{00000000-0008-0000-0100-0000070C0000}"/>
                    </a:ext>
                  </a:extLst>
                </xdr:cNvPr>
                <xdr:cNvSpPr/>
              </xdr:nvSpPr>
              <xdr:spPr bwMode="auto">
                <a:xfrm>
                  <a:off x="6512562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3080" name="Option Button 8" hidden="1">
                  <a:extLst>
                    <a:ext uri="{63B3BB69-23CF-44E3-9099-C40C66FF867C}">
                      <a14:compatExt spid="_x0000_s3080"/>
                    </a:ext>
                    <a:ext uri="{FF2B5EF4-FFF2-40B4-BE49-F238E27FC236}">
                      <a16:creationId xmlns:a16="http://schemas.microsoft.com/office/drawing/2014/main" id="{00000000-0008-0000-0100-0000080C0000}"/>
                    </a:ext>
                  </a:extLst>
                </xdr:cNvPr>
                <xdr:cNvSpPr/>
              </xdr:nvSpPr>
              <xdr:spPr bwMode="auto">
                <a:xfrm>
                  <a:off x="6512562" y="545727"/>
                  <a:ext cx="1200152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3081" name="Option Button 9" hidden="1">
                  <a:extLst>
                    <a:ext uri="{63B3BB69-23CF-44E3-9099-C40C66FF867C}">
                      <a14:compatExt spid="_x0000_s3081"/>
                    </a:ext>
                    <a:ext uri="{FF2B5EF4-FFF2-40B4-BE49-F238E27FC236}">
                      <a16:creationId xmlns:a16="http://schemas.microsoft.com/office/drawing/2014/main" id="{00000000-0008-0000-0100-0000090C0000}"/>
                    </a:ext>
                  </a:extLst>
                </xdr:cNvPr>
                <xdr:cNvSpPr/>
              </xdr:nvSpPr>
              <xdr:spPr bwMode="auto">
                <a:xfrm>
                  <a:off x="6512562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abSelected="1" workbookViewId="0"/>
  </sheetViews>
  <sheetFormatPr baseColWidth="10" defaultColWidth="11.42578125" defaultRowHeight="12.75" x14ac:dyDescent="0.2"/>
  <cols>
    <col min="1" max="1" width="19.85546875" style="1" customWidth="1"/>
    <col min="2" max="2" width="46.42578125" style="1" customWidth="1"/>
    <col min="3" max="18" width="12" style="1" customWidth="1"/>
    <col min="19" max="16384" width="11.42578125" style="1"/>
  </cols>
  <sheetData>
    <row r="1" spans="1:18" s="2" customFormat="1" x14ac:dyDescent="0.2"/>
    <row r="2" spans="1:18" s="2" customFormat="1" ht="15.75" x14ac:dyDescent="0.25">
      <c r="B2" s="3"/>
      <c r="C2" s="1"/>
      <c r="D2" s="1"/>
    </row>
    <row r="3" spans="1:18" s="2" customFormat="1" ht="15.75" x14ac:dyDescent="0.25">
      <c r="B3" s="3"/>
      <c r="C3" s="1"/>
      <c r="D3" s="1"/>
    </row>
    <row r="4" spans="1:18" s="2" customFormat="1" ht="15.75" x14ac:dyDescent="0.25">
      <c r="B4" s="3"/>
      <c r="C4" s="1"/>
      <c r="D4" s="1"/>
    </row>
    <row r="5" spans="1:18" s="2" customFormat="1" x14ac:dyDescent="0.2"/>
    <row r="6" spans="1:18" s="2" customFormat="1" x14ac:dyDescent="0.2"/>
    <row r="7" spans="1:18" s="2" customFormat="1" ht="15.75" customHeight="1" x14ac:dyDescent="0.2">
      <c r="A7" s="127" t="str">
        <f>VLOOKUP("&lt;Fachbereich&gt;",Uebersetzungen!$B$3:$E$206,Uebersetzungen!$B$2+1,FALSE)</f>
        <v>Daten &amp; Statistik</v>
      </c>
      <c r="B7" s="127"/>
      <c r="C7" s="4"/>
      <c r="D7" s="4"/>
      <c r="E7" s="4"/>
      <c r="F7" s="4"/>
      <c r="G7" s="4"/>
      <c r="H7" s="4"/>
    </row>
    <row r="8" spans="1:18" s="2" customFormat="1" x14ac:dyDescent="0.2"/>
    <row r="9" spans="1:18" s="8" customFormat="1" ht="18" x14ac:dyDescent="0.2">
      <c r="A9" s="25" t="str">
        <f>VLOOKUP("&lt;Titel&gt;",Uebersetzungen!$B$3:$E$206,Uebersetzungen!$B$2+1,FALSE)</f>
        <v>Hauptverkehrsmittel zur Arbeitsstätte nach verschiedenen soziodemografischen Merkmalen und Kanton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s="8" customFormat="1" ht="15" x14ac:dyDescent="0.2">
      <c r="A10" s="26" t="str">
        <f>VLOOKUP("&lt;UTitel&gt;",Uebersetzungen!$B$3:$E$206,Uebersetzungen!$B$2+1,FALSE)</f>
        <v>Ständige schweizerische Wohnbevölkerung ab 15 Jahren</v>
      </c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18" s="8" customFormat="1" ht="15.75" thickBot="1" x14ac:dyDescent="0.25">
      <c r="A11" s="26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</row>
    <row r="12" spans="1:18" ht="18.75" thickBot="1" x14ac:dyDescent="0.3">
      <c r="B12" s="99"/>
      <c r="C12" s="129">
        <v>2022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</row>
    <row r="13" spans="1:18" ht="39" customHeight="1" thickBot="1" x14ac:dyDescent="0.25">
      <c r="A13" s="10"/>
      <c r="B13" s="85"/>
      <c r="C13" s="128" t="str">
        <f>VLOOKUP("&lt;SpaltenTitel_1&gt;",Uebersetzungen!$B$3:$E$206,Uebersetzungen!$B$2+1,FALSE)</f>
        <v>Total</v>
      </c>
      <c r="D13" s="125"/>
      <c r="E13" s="125" t="str">
        <f>VLOOKUP("&lt;SpaltenTitel_2&gt;",Uebersetzungen!$B$3:$E$206,Uebersetzungen!$B$2+1,FALSE)</f>
        <v>Total Pendler/-innen zur Arbeitsstätte</v>
      </c>
      <c r="F13" s="125"/>
      <c r="G13" s="125" t="str">
        <f>VLOOKUP("&lt;SpaltenTitel_3&gt;",Uebersetzungen!$B$3:$E$206,Uebersetzungen!$B$2+1,FALSE)</f>
        <v xml:space="preserve">Langsamverkehr </v>
      </c>
      <c r="H13" s="125"/>
      <c r="I13" s="125" t="str">
        <f>VLOOKUP("&lt;SpaltenTitel_4&gt;",Uebersetzungen!$B$3:$E$206,Uebersetzungen!$B$2+1,FALSE)</f>
        <v>Motorisierter Individualverkehr</v>
      </c>
      <c r="J13" s="125"/>
      <c r="K13" s="125" t="str">
        <f>VLOOKUP("&lt;SpaltenTitel_5&gt;",Uebersetzungen!$B$3:$E$206,Uebersetzungen!$B$2+1,FALSE)</f>
        <v xml:space="preserve">Öffentlicher Verkehr </v>
      </c>
      <c r="L13" s="125"/>
      <c r="M13" s="125" t="str">
        <f>VLOOKUP("&lt;SpaltenTitel_6&gt;",Uebersetzungen!$B$3:$E$206,Uebersetzungen!$B$2+1,FALSE)</f>
        <v>Übrige Verkehrsmittel</v>
      </c>
      <c r="N13" s="125"/>
      <c r="O13" s="125" t="str">
        <f>VLOOKUP("&lt;SpaltenTitel_7&gt;",Uebersetzungen!$B$3:$E$206,Uebersetzungen!$B$2+1,FALSE)</f>
        <v>Erwerbstätige Nichtpendler/-innen</v>
      </c>
      <c r="P13" s="125"/>
      <c r="Q13" s="125" t="str">
        <f>VLOOKUP("&lt;SpaltenTitel_8&gt;",Uebersetzungen!$B$3:$E$206,Uebersetzungen!$B$2+1,FALSE)</f>
        <v>Erwerbslose und Nichterwerbspersonen</v>
      </c>
      <c r="R13" s="126"/>
    </row>
    <row r="14" spans="1:18" ht="39.75" customHeight="1" thickBot="1" x14ac:dyDescent="0.25">
      <c r="A14" s="27"/>
      <c r="B14" s="27"/>
      <c r="C14" s="90" t="str">
        <f>VLOOKUP("&lt;SpaltenTitel_1.1&gt;",Uebersetzungen!$B$3:$E$206,Uebersetzungen!$B$2+1,FALSE)</f>
        <v>Anzahl Personen</v>
      </c>
      <c r="D14" s="91" t="str">
        <f>VLOOKUP("&lt;SpaltenTitel_1.2&gt;",Uebersetzungen!$B$3:$E$206,Uebersetzungen!$B$2+1,FALSE)</f>
        <v>Vertrauens- intervall:          ± (in %)</v>
      </c>
      <c r="E14" s="92" t="str">
        <f>VLOOKUP("&lt;SpaltenTitel_1.1&gt;",Uebersetzungen!$B$3:$E$206,Uebersetzungen!$B$2+1,FALSE)</f>
        <v>Anzahl Personen</v>
      </c>
      <c r="F14" s="91" t="str">
        <f>VLOOKUP("&lt;SpaltenTitel_1.2&gt;",Uebersetzungen!$B$3:$E$206,Uebersetzungen!$B$2+1,FALSE)</f>
        <v>Vertrauens- intervall:          ± (in %)</v>
      </c>
      <c r="G14" s="92" t="str">
        <f>VLOOKUP("&lt;SpaltenTitel_1.1&gt;",Uebersetzungen!$B$3:$E$206,Uebersetzungen!$B$2+1,FALSE)</f>
        <v>Anzahl Personen</v>
      </c>
      <c r="H14" s="91" t="str">
        <f>VLOOKUP("&lt;SpaltenTitel_1.2&gt;",Uebersetzungen!$B$3:$E$206,Uebersetzungen!$B$2+1,FALSE)</f>
        <v>Vertrauens- intervall:          ± (in %)</v>
      </c>
      <c r="I14" s="92" t="str">
        <f>VLOOKUP("&lt;SpaltenTitel_1.1&gt;",Uebersetzungen!$B$3:$E$206,Uebersetzungen!$B$2+1,FALSE)</f>
        <v>Anzahl Personen</v>
      </c>
      <c r="J14" s="91" t="str">
        <f>VLOOKUP("&lt;SpaltenTitel_1.2&gt;",Uebersetzungen!$B$3:$E$206,Uebersetzungen!$B$2+1,FALSE)</f>
        <v>Vertrauens- intervall:          ± (in %)</v>
      </c>
      <c r="K14" s="92" t="str">
        <f>VLOOKUP("&lt;SpaltenTitel_1.1&gt;",Uebersetzungen!$B$3:$E$206,Uebersetzungen!$B$2+1,FALSE)</f>
        <v>Anzahl Personen</v>
      </c>
      <c r="L14" s="91" t="str">
        <f>VLOOKUP("&lt;SpaltenTitel_1.2&gt;",Uebersetzungen!$B$3:$E$206,Uebersetzungen!$B$2+1,FALSE)</f>
        <v>Vertrauens- intervall:          ± (in %)</v>
      </c>
      <c r="M14" s="92" t="str">
        <f>VLOOKUP("&lt;SpaltenTitel_1.1&gt;",Uebersetzungen!$B$3:$E$206,Uebersetzungen!$B$2+1,FALSE)</f>
        <v>Anzahl Personen</v>
      </c>
      <c r="N14" s="91" t="str">
        <f>VLOOKUP("&lt;SpaltenTitel_1.2&gt;",Uebersetzungen!$B$3:$E$206,Uebersetzungen!$B$2+1,FALSE)</f>
        <v>Vertrauens- intervall:          ± (in %)</v>
      </c>
      <c r="O14" s="92" t="str">
        <f>VLOOKUP("&lt;SpaltenTitel_1.1&gt;",Uebersetzungen!$B$3:$E$206,Uebersetzungen!$B$2+1,FALSE)</f>
        <v>Anzahl Personen</v>
      </c>
      <c r="P14" s="91" t="str">
        <f>VLOOKUP("&lt;SpaltenTitel_1.2&gt;",Uebersetzungen!$B$3:$E$206,Uebersetzungen!$B$2+1,FALSE)</f>
        <v>Vertrauens- intervall:          ± (in %)</v>
      </c>
      <c r="Q14" s="92" t="str">
        <f>VLOOKUP("&lt;SpaltenTitel_1.1&gt;",Uebersetzungen!$B$3:$E$206,Uebersetzungen!$B$2+1,FALSE)</f>
        <v>Anzahl Personen</v>
      </c>
      <c r="R14" s="93" t="str">
        <f>VLOOKUP("&lt;SpaltenTitel_1.2&gt;",Uebersetzungen!$B$3:$E$206,Uebersetzungen!$B$2+1,FALSE)</f>
        <v>Vertrauens- intervall:          ± (in %)</v>
      </c>
    </row>
    <row r="15" spans="1:18" ht="12" customHeight="1" x14ac:dyDescent="0.2">
      <c r="A15" s="59" t="str">
        <f>VLOOKUP("&lt;Zeilentitel_1&gt;",Uebersetzungen!$B$3:$E$205,Uebersetzungen!$B$2+1,FALSE)</f>
        <v>Total</v>
      </c>
      <c r="B15" s="98"/>
      <c r="C15" s="79">
        <v>7307819.0000000568</v>
      </c>
      <c r="D15" s="76">
        <v>5.3159065886884814E-2</v>
      </c>
      <c r="E15" s="77">
        <v>3589840.3443501391</v>
      </c>
      <c r="F15" s="78">
        <v>0.3952453917872607</v>
      </c>
      <c r="G15" s="77">
        <v>653199.05600159254</v>
      </c>
      <c r="H15" s="76">
        <v>1.2326349628799618</v>
      </c>
      <c r="I15" s="79">
        <v>1866358.0494173474</v>
      </c>
      <c r="J15" s="76">
        <v>0.64464719202068865</v>
      </c>
      <c r="K15" s="77">
        <v>1051099.2231620708</v>
      </c>
      <c r="L15" s="78">
        <v>0.9397009380980893</v>
      </c>
      <c r="M15" s="77">
        <v>19184.015769134152</v>
      </c>
      <c r="N15" s="76">
        <v>7.6930318521685761</v>
      </c>
      <c r="O15" s="79">
        <v>900337.57844406716</v>
      </c>
      <c r="P15" s="76">
        <v>1.0386544715852224</v>
      </c>
      <c r="Q15" s="77">
        <v>2817641.0772058442</v>
      </c>
      <c r="R15" s="100">
        <v>0.47934940379940916</v>
      </c>
    </row>
    <row r="16" spans="1:18" x14ac:dyDescent="0.2">
      <c r="A16" s="123" t="str">
        <f>VLOOKUP("&lt;Zeilentitel_2&gt;",Uebersetzungen!$B$3:$E$205,Uebersetzungen!$B$2+1,FALSE)</f>
        <v>Kanton</v>
      </c>
      <c r="B16" s="105" t="str">
        <f>VLOOKUP("&lt;Zeilentitel_2.1&gt;",Uebersetzungen!$B$3:$E$205,Uebersetzungen!$B$2+1,FALSE)</f>
        <v>Zürich</v>
      </c>
      <c r="C16" s="18">
        <v>1312405.0000000056</v>
      </c>
      <c r="D16" s="21">
        <v>0.14765637313588648</v>
      </c>
      <c r="E16" s="23">
        <v>662186.86622129544</v>
      </c>
      <c r="F16" s="17">
        <v>1.019481953927444</v>
      </c>
      <c r="G16" s="23">
        <v>106686.17136983987</v>
      </c>
      <c r="H16" s="21">
        <v>3.3838984052261076</v>
      </c>
      <c r="I16" s="18">
        <v>254801.3411657371</v>
      </c>
      <c r="J16" s="21">
        <v>2.0333049724251842</v>
      </c>
      <c r="K16" s="23">
        <v>297260.13631453627</v>
      </c>
      <c r="L16" s="17">
        <v>1.8803396320396466</v>
      </c>
      <c r="M16" s="23">
        <v>3439.2173711814539</v>
      </c>
      <c r="N16" s="21">
        <v>20.661840668205663</v>
      </c>
      <c r="O16" s="18">
        <v>197447.91623799107</v>
      </c>
      <c r="P16" s="21">
        <v>2.4316048636870096</v>
      </c>
      <c r="Q16" s="23">
        <v>452770.21754072001</v>
      </c>
      <c r="R16" s="101">
        <v>1.3954756916990689</v>
      </c>
    </row>
    <row r="17" spans="1:18" x14ac:dyDescent="0.2">
      <c r="A17" s="123"/>
      <c r="B17" s="105" t="str">
        <f>VLOOKUP("&lt;Zeilentitel_2.2&gt;",Uebersetzungen!$B$3:$E$205,Uebersetzungen!$B$2+1,FALSE)</f>
        <v>Bern</v>
      </c>
      <c r="C17" s="18">
        <v>879250.00000002189</v>
      </c>
      <c r="D17" s="21">
        <v>0.1450227962024945</v>
      </c>
      <c r="E17" s="23">
        <v>442880.34277778573</v>
      </c>
      <c r="F17" s="17">
        <v>1.2251576669108613</v>
      </c>
      <c r="G17" s="23">
        <v>98500.328045265705</v>
      </c>
      <c r="H17" s="21">
        <v>3.4135924546176031</v>
      </c>
      <c r="I17" s="18">
        <v>217145.76577822049</v>
      </c>
      <c r="J17" s="21">
        <v>2.1124307006921357</v>
      </c>
      <c r="K17" s="23">
        <v>125377.25154409901</v>
      </c>
      <c r="L17" s="17">
        <v>2.9968533876789683</v>
      </c>
      <c r="M17" s="23">
        <v>1856.9974102010442</v>
      </c>
      <c r="N17" s="21">
        <v>27.357428438440031</v>
      </c>
      <c r="O17" s="18">
        <v>108021.97813060865</v>
      </c>
      <c r="P17" s="21">
        <v>3.2800366314781173</v>
      </c>
      <c r="Q17" s="23">
        <v>328347.67909162701</v>
      </c>
      <c r="R17" s="101">
        <v>1.5618081437793137</v>
      </c>
    </row>
    <row r="18" spans="1:18" x14ac:dyDescent="0.2">
      <c r="A18" s="123"/>
      <c r="B18" s="105" t="str">
        <f>VLOOKUP("&lt;Zeilentitel_2.3&gt;",Uebersetzungen!$B$3:$E$205,Uebersetzungen!$B$2+1,FALSE)</f>
        <v>Luzern</v>
      </c>
      <c r="C18" s="18">
        <v>352203.00000000157</v>
      </c>
      <c r="D18" s="21">
        <v>0.17401157788364685</v>
      </c>
      <c r="E18" s="23">
        <v>186088.50717873045</v>
      </c>
      <c r="F18" s="17">
        <v>1.2909241613853211</v>
      </c>
      <c r="G18" s="23">
        <v>37594.639563771852</v>
      </c>
      <c r="H18" s="21">
        <v>3.8716867036260498</v>
      </c>
      <c r="I18" s="18">
        <v>104217.44536659686</v>
      </c>
      <c r="J18" s="21">
        <v>2.0807463412562166</v>
      </c>
      <c r="K18" s="23">
        <v>43388.000423719481</v>
      </c>
      <c r="L18" s="17">
        <v>3.6300250410931181</v>
      </c>
      <c r="M18" s="23">
        <v>888.42182464196276</v>
      </c>
      <c r="N18" s="21">
        <v>29.27639991233989</v>
      </c>
      <c r="O18" s="18">
        <v>44416.257711559207</v>
      </c>
      <c r="P18" s="21">
        <v>3.5687090414649143</v>
      </c>
      <c r="Q18" s="23">
        <v>121698.23510971223</v>
      </c>
      <c r="R18" s="101">
        <v>1.8114935480217074</v>
      </c>
    </row>
    <row r="19" spans="1:18" x14ac:dyDescent="0.2">
      <c r="A19" s="123"/>
      <c r="B19" s="105" t="str">
        <f>VLOOKUP("&lt;Zeilentitel_2.4&gt;",Uebersetzungen!$B$3:$E$205,Uebersetzungen!$B$2+1,FALSE)</f>
        <v>Uri</v>
      </c>
      <c r="C19" s="18">
        <v>31074.999999999927</v>
      </c>
      <c r="D19" s="21">
        <v>0.66752093390518763</v>
      </c>
      <c r="E19" s="23">
        <v>15888.921382864111</v>
      </c>
      <c r="F19" s="17">
        <v>6.2375117870757721</v>
      </c>
      <c r="G19" s="23">
        <v>3991.6084161615217</v>
      </c>
      <c r="H19" s="21">
        <v>16.338209240835454</v>
      </c>
      <c r="I19" s="19">
        <v>10041.262688485966</v>
      </c>
      <c r="J19" s="22">
        <v>9.2003352376593881</v>
      </c>
      <c r="K19" s="24">
        <v>1794.9316631597069</v>
      </c>
      <c r="L19" s="20">
        <v>25.675934945677291</v>
      </c>
      <c r="M19" s="24" t="s">
        <v>284</v>
      </c>
      <c r="N19" s="22" t="s">
        <v>284</v>
      </c>
      <c r="O19" s="18">
        <v>3268.4202815411982</v>
      </c>
      <c r="P19" s="21">
        <v>18.753203556072826</v>
      </c>
      <c r="Q19" s="24">
        <v>11917.658335594613</v>
      </c>
      <c r="R19" s="102">
        <v>7.817284838559373</v>
      </c>
    </row>
    <row r="20" spans="1:18" x14ac:dyDescent="0.2">
      <c r="A20" s="123"/>
      <c r="B20" s="105" t="str">
        <f>VLOOKUP("&lt;Zeilentitel_2.5&gt;",Uebersetzungen!$B$3:$E$205,Uebersetzungen!$B$2+1,FALSE)</f>
        <v>Schwyz</v>
      </c>
      <c r="C20" s="18">
        <v>138672.00000000128</v>
      </c>
      <c r="D20" s="21">
        <v>0.44557971090411935</v>
      </c>
      <c r="E20" s="23">
        <v>70564.929645369586</v>
      </c>
      <c r="F20" s="17">
        <v>3.0391846800268478</v>
      </c>
      <c r="G20" s="23">
        <v>11336.384271028906</v>
      </c>
      <c r="H20" s="21">
        <v>10.280778938978084</v>
      </c>
      <c r="I20" s="18">
        <v>45532.437450290308</v>
      </c>
      <c r="J20" s="21">
        <v>4.3913393933215907</v>
      </c>
      <c r="K20" s="23">
        <v>13554.771925930276</v>
      </c>
      <c r="L20" s="17">
        <v>9.2802463759981801</v>
      </c>
      <c r="M20" s="23" t="s">
        <v>284</v>
      </c>
      <c r="N20" s="21" t="s">
        <v>284</v>
      </c>
      <c r="O20" s="18">
        <v>19716.532306719368</v>
      </c>
      <c r="P20" s="21">
        <v>7.5816516709538728</v>
      </c>
      <c r="Q20" s="23">
        <v>48390.538047912283</v>
      </c>
      <c r="R20" s="101">
        <v>4.1432977918687799</v>
      </c>
    </row>
    <row r="21" spans="1:18" x14ac:dyDescent="0.2">
      <c r="A21" s="123"/>
      <c r="B21" s="105" t="str">
        <f>VLOOKUP("&lt;Zeilentitel_2.6&gt;",Uebersetzungen!$B$3:$E$205,Uebersetzungen!$B$2+1,FALSE)</f>
        <v>Obwalden</v>
      </c>
      <c r="C21" s="18">
        <v>32326.999999999905</v>
      </c>
      <c r="D21" s="21">
        <v>0.79098017845413482</v>
      </c>
      <c r="E21" s="23">
        <v>17114.085537333634</v>
      </c>
      <c r="F21" s="17">
        <v>5.8375767396318663</v>
      </c>
      <c r="G21" s="23">
        <v>3258.8569778925603</v>
      </c>
      <c r="H21" s="21">
        <v>18.468285906375964</v>
      </c>
      <c r="I21" s="19">
        <v>11120.819317426001</v>
      </c>
      <c r="J21" s="22">
        <v>8.4777437251640801</v>
      </c>
      <c r="K21" s="24">
        <v>2521.2125209010901</v>
      </c>
      <c r="L21" s="20">
        <v>21.72282015031919</v>
      </c>
      <c r="M21" s="24">
        <v>213.19672111398791</v>
      </c>
      <c r="N21" s="22">
        <v>79.330512614880348</v>
      </c>
      <c r="O21" s="18">
        <v>3810.8273053654548</v>
      </c>
      <c r="P21" s="21">
        <v>17.077086494154482</v>
      </c>
      <c r="Q21" s="24">
        <v>11402.087157300808</v>
      </c>
      <c r="R21" s="102">
        <v>8.6176424451041527</v>
      </c>
    </row>
    <row r="22" spans="1:18" x14ac:dyDescent="0.2">
      <c r="A22" s="123"/>
      <c r="B22" s="105" t="str">
        <f>VLOOKUP("&lt;Zeilentitel_2.7&gt;",Uebersetzungen!$B$3:$E$205,Uebersetzungen!$B$2+1,FALSE)</f>
        <v>Nidwalden</v>
      </c>
      <c r="C22" s="18">
        <v>37829.000000000189</v>
      </c>
      <c r="D22" s="21">
        <v>0.69384402512895094</v>
      </c>
      <c r="E22" s="23">
        <v>19711.469813456264</v>
      </c>
      <c r="F22" s="17">
        <v>5.7749785662417006</v>
      </c>
      <c r="G22" s="23">
        <v>3679.615233007944</v>
      </c>
      <c r="H22" s="21">
        <v>18.281895037445366</v>
      </c>
      <c r="I22" s="19">
        <v>12315.21681044823</v>
      </c>
      <c r="J22" s="22">
        <v>8.6331686165246548</v>
      </c>
      <c r="K22" s="24">
        <v>3571.0466004144419</v>
      </c>
      <c r="L22" s="20">
        <v>18.74043759796815</v>
      </c>
      <c r="M22" s="23" t="s">
        <v>284</v>
      </c>
      <c r="N22" s="21" t="s">
        <v>284</v>
      </c>
      <c r="O22" s="18">
        <v>4358.3582239198495</v>
      </c>
      <c r="P22" s="21">
        <v>16.764694477646739</v>
      </c>
      <c r="Q22" s="24">
        <v>13759.171962624081</v>
      </c>
      <c r="R22" s="102">
        <v>8.0596890497126488</v>
      </c>
    </row>
    <row r="23" spans="1:18" x14ac:dyDescent="0.2">
      <c r="A23" s="123"/>
      <c r="B23" s="105" t="str">
        <f>VLOOKUP("&lt;Zeilentitel_2.8&gt;",Uebersetzungen!$B$3:$E$205,Uebersetzungen!$B$2+1,FALSE)</f>
        <v>Glarus</v>
      </c>
      <c r="C23" s="18">
        <v>34613.000000000189</v>
      </c>
      <c r="D23" s="21">
        <v>1.1043443962313539</v>
      </c>
      <c r="E23" s="23">
        <v>17400.167551844293</v>
      </c>
      <c r="F23" s="17">
        <v>6.6334755306666722</v>
      </c>
      <c r="G23" s="23">
        <v>3430.3031867548079</v>
      </c>
      <c r="H23" s="21">
        <v>19.708142407126989</v>
      </c>
      <c r="I23" s="19">
        <v>11212.440676211574</v>
      </c>
      <c r="J23" s="22">
        <v>9.5658967124311669</v>
      </c>
      <c r="K23" s="24">
        <v>2691.9750832267073</v>
      </c>
      <c r="L23" s="20">
        <v>22.870648441048793</v>
      </c>
      <c r="M23" s="24" t="s">
        <v>284</v>
      </c>
      <c r="N23" s="22" t="s">
        <v>284</v>
      </c>
      <c r="O23" s="18">
        <v>4060.60578635619</v>
      </c>
      <c r="P23" s="21">
        <v>18.831477040607741</v>
      </c>
      <c r="Q23" s="24">
        <v>13152.226661799701</v>
      </c>
      <c r="R23" s="102">
        <v>8.2837616064653794</v>
      </c>
    </row>
    <row r="24" spans="1:18" x14ac:dyDescent="0.2">
      <c r="A24" s="123"/>
      <c r="B24" s="105" t="str">
        <f>VLOOKUP("&lt;Zeilentitel_2.9&gt;",Uebersetzungen!$B$3:$E$205,Uebersetzungen!$B$2+1,FALSE)</f>
        <v>Zug</v>
      </c>
      <c r="C24" s="18">
        <v>108988.00000000268</v>
      </c>
      <c r="D24" s="21">
        <v>0.31786915252122738</v>
      </c>
      <c r="E24" s="23">
        <v>52828.569861340766</v>
      </c>
      <c r="F24" s="17">
        <v>2.5191588870539872</v>
      </c>
      <c r="G24" s="23">
        <v>10427.900638540374</v>
      </c>
      <c r="H24" s="21">
        <v>7.398463621134673</v>
      </c>
      <c r="I24" s="18">
        <v>25461.930761978299</v>
      </c>
      <c r="J24" s="21">
        <v>4.3877818288319013</v>
      </c>
      <c r="K24" s="23">
        <v>16637.472807402613</v>
      </c>
      <c r="L24" s="17">
        <v>5.7378321604155813</v>
      </c>
      <c r="M24" s="23">
        <v>301.265653419503</v>
      </c>
      <c r="N24" s="21">
        <v>46.378702886713754</v>
      </c>
      <c r="O24" s="18">
        <v>17426.695085284893</v>
      </c>
      <c r="P24" s="21">
        <v>5.6249581887680851</v>
      </c>
      <c r="Q24" s="23">
        <v>38732.735053376993</v>
      </c>
      <c r="R24" s="101">
        <v>3.2107614724359355</v>
      </c>
    </row>
    <row r="25" spans="1:18" x14ac:dyDescent="0.2">
      <c r="A25" s="123"/>
      <c r="B25" s="105" t="str">
        <f>VLOOKUP("&lt;Zeilentitel_2.10&gt;",Uebersetzungen!$B$3:$E$205,Uebersetzungen!$B$2+1,FALSE)</f>
        <v>Freiburg</v>
      </c>
      <c r="C25" s="18">
        <v>273359.99999999983</v>
      </c>
      <c r="D25" s="21">
        <v>0.27095168172933504</v>
      </c>
      <c r="E25" s="23">
        <v>140481.96945503671</v>
      </c>
      <c r="F25" s="17">
        <v>2.1347671865304241</v>
      </c>
      <c r="G25" s="23">
        <v>17645.040490595999</v>
      </c>
      <c r="H25" s="21">
        <v>8.3495207334561545</v>
      </c>
      <c r="I25" s="18">
        <v>94470.319969785545</v>
      </c>
      <c r="J25" s="21">
        <v>2.9952415219942878</v>
      </c>
      <c r="K25" s="23">
        <v>28027.600121871732</v>
      </c>
      <c r="L25" s="17">
        <v>6.4906221977319545</v>
      </c>
      <c r="M25" s="23">
        <v>339.00887278327116</v>
      </c>
      <c r="N25" s="21">
        <v>61.252502044383377</v>
      </c>
      <c r="O25" s="18">
        <v>31923.320133961064</v>
      </c>
      <c r="P25" s="21">
        <v>6.0761249903139563</v>
      </c>
      <c r="Q25" s="23">
        <v>100954.71041100216</v>
      </c>
      <c r="R25" s="101">
        <v>2.8427509302184513</v>
      </c>
    </row>
    <row r="26" spans="1:18" x14ac:dyDescent="0.2">
      <c r="A26" s="123"/>
      <c r="B26" s="105" t="str">
        <f>VLOOKUP("&lt;Zeilentitel_2.11&gt;",Uebersetzungen!$B$3:$E$205,Uebersetzungen!$B$2+1,FALSE)</f>
        <v>Solothurn</v>
      </c>
      <c r="C26" s="18">
        <v>237079.99999999988</v>
      </c>
      <c r="D26" s="21">
        <v>0.33945140530503209</v>
      </c>
      <c r="E26" s="23">
        <v>117657.73262680636</v>
      </c>
      <c r="F26" s="17">
        <v>2.45775943461924</v>
      </c>
      <c r="G26" s="23">
        <v>20819.94035101273</v>
      </c>
      <c r="H26" s="21">
        <v>7.7836098544887227</v>
      </c>
      <c r="I26" s="18">
        <v>72635.273833941028</v>
      </c>
      <c r="J26" s="21">
        <v>3.6272005227469015</v>
      </c>
      <c r="K26" s="23">
        <v>23605.869628936955</v>
      </c>
      <c r="L26" s="17">
        <v>7.3144941358762301</v>
      </c>
      <c r="M26" s="23">
        <v>596.64881291567985</v>
      </c>
      <c r="N26" s="21">
        <v>50.223592599446846</v>
      </c>
      <c r="O26" s="18">
        <v>26172.742106485632</v>
      </c>
      <c r="P26" s="21">
        <v>6.8962273067162387</v>
      </c>
      <c r="Q26" s="23">
        <v>93249.525266707875</v>
      </c>
      <c r="R26" s="101">
        <v>2.964996482756058</v>
      </c>
    </row>
    <row r="27" spans="1:18" x14ac:dyDescent="0.2">
      <c r="A27" s="123"/>
      <c r="B27" s="105" t="str">
        <f>VLOOKUP("&lt;Zeilentitel_2.12&gt;",Uebersetzungen!$B$3:$E$205,Uebersetzungen!$B$2+1,FALSE)</f>
        <v>Basel-Stadt</v>
      </c>
      <c r="C27" s="18">
        <v>165064.00000000326</v>
      </c>
      <c r="D27" s="21">
        <v>0.48022799214659501</v>
      </c>
      <c r="E27" s="23">
        <v>77203.487308236057</v>
      </c>
      <c r="F27" s="17">
        <v>3.1375088340062236</v>
      </c>
      <c r="G27" s="23">
        <v>30024.511180011621</v>
      </c>
      <c r="H27" s="21">
        <v>6.1166301818156512</v>
      </c>
      <c r="I27" s="18">
        <v>12705.132940419311</v>
      </c>
      <c r="J27" s="21">
        <v>10.070001348054324</v>
      </c>
      <c r="K27" s="23">
        <v>33942.536044157787</v>
      </c>
      <c r="L27" s="17">
        <v>5.8363034288707336</v>
      </c>
      <c r="M27" s="23">
        <v>531.30714364732421</v>
      </c>
      <c r="N27" s="21">
        <v>52.051282213320299</v>
      </c>
      <c r="O27" s="18">
        <v>19927.593204061406</v>
      </c>
      <c r="P27" s="21">
        <v>8.0556357611949636</v>
      </c>
      <c r="Q27" s="24">
        <v>67932.919487705803</v>
      </c>
      <c r="R27" s="102">
        <v>3.5540936411009323</v>
      </c>
    </row>
    <row r="28" spans="1:18" x14ac:dyDescent="0.2">
      <c r="A28" s="123"/>
      <c r="B28" s="105" t="str">
        <f>VLOOKUP("&lt;Zeilentitel_2.13&gt;",Uebersetzungen!$B$3:$E$205,Uebersetzungen!$B$2+1,FALSE)</f>
        <v>Basel-Landschaft</v>
      </c>
      <c r="C28" s="18">
        <v>247484.99999999572</v>
      </c>
      <c r="D28" s="21">
        <v>0.30876322003811896</v>
      </c>
      <c r="E28" s="23">
        <v>114492.9235807981</v>
      </c>
      <c r="F28" s="17">
        <v>2.5091386856288129</v>
      </c>
      <c r="G28" s="23">
        <v>21199.945652114024</v>
      </c>
      <c r="H28" s="21">
        <v>7.4620337144397091</v>
      </c>
      <c r="I28" s="18">
        <v>53707.909031645257</v>
      </c>
      <c r="J28" s="21">
        <v>4.3790172398839777</v>
      </c>
      <c r="K28" s="23">
        <v>39136.144823231596</v>
      </c>
      <c r="L28" s="17">
        <v>5.363155357034759</v>
      </c>
      <c r="M28" s="23">
        <v>448.92407380711268</v>
      </c>
      <c r="N28" s="21">
        <v>56.061816521616343</v>
      </c>
      <c r="O28" s="18">
        <v>28023.133968841612</v>
      </c>
      <c r="P28" s="21">
        <v>6.5056004635339457</v>
      </c>
      <c r="Q28" s="23">
        <v>104968.94245035612</v>
      </c>
      <c r="R28" s="101">
        <v>2.6507009000494892</v>
      </c>
    </row>
    <row r="29" spans="1:18" x14ac:dyDescent="0.2">
      <c r="A29" s="123"/>
      <c r="B29" s="105" t="str">
        <f>VLOOKUP("&lt;Zeilentitel_2.14&gt;",Uebersetzungen!$B$3:$E$205,Uebersetzungen!$B$2+1,FALSE)</f>
        <v>Schaffhausen</v>
      </c>
      <c r="C29" s="18">
        <v>71534.999999999665</v>
      </c>
      <c r="D29" s="21">
        <v>0.68399138623845657</v>
      </c>
      <c r="E29" s="23">
        <v>33800.012351735408</v>
      </c>
      <c r="F29" s="17">
        <v>4.7468487511778648</v>
      </c>
      <c r="G29" s="23">
        <v>5408.6610457390016</v>
      </c>
      <c r="H29" s="21">
        <v>15.315137131088713</v>
      </c>
      <c r="I29" s="18">
        <v>18863.768060082002</v>
      </c>
      <c r="J29" s="21">
        <v>7.4166952508424133</v>
      </c>
      <c r="K29" s="23">
        <v>9438.1444516437932</v>
      </c>
      <c r="L29" s="17">
        <v>11.374154922129261</v>
      </c>
      <c r="M29" s="23" t="s">
        <v>284</v>
      </c>
      <c r="N29" s="21" t="s">
        <v>284</v>
      </c>
      <c r="O29" s="18">
        <v>8119.1652660239288</v>
      </c>
      <c r="P29" s="21">
        <v>12.372454968663678</v>
      </c>
      <c r="Q29" s="24">
        <v>29615.822382240298</v>
      </c>
      <c r="R29" s="102">
        <v>5.0876551828991881</v>
      </c>
    </row>
    <row r="30" spans="1:18" x14ac:dyDescent="0.2">
      <c r="A30" s="123"/>
      <c r="B30" s="105" t="str">
        <f>VLOOKUP("&lt;Zeilentitel_2.15&gt;",Uebersetzungen!$B$3:$E$205,Uebersetzungen!$B$2+1,FALSE)</f>
        <v>Appenzell Ausserrhoden</v>
      </c>
      <c r="C30" s="18">
        <v>46087.999999999331</v>
      </c>
      <c r="D30" s="21">
        <v>0.71462856760748483</v>
      </c>
      <c r="E30" s="23">
        <v>23305.356159193587</v>
      </c>
      <c r="F30" s="17">
        <v>5.5786651350582108</v>
      </c>
      <c r="G30" s="23">
        <v>4353.8743968191957</v>
      </c>
      <c r="H30" s="21">
        <v>17.226767513502246</v>
      </c>
      <c r="I30" s="18">
        <v>14094.237555420324</v>
      </c>
      <c r="J30" s="21">
        <v>8.3376167169192588</v>
      </c>
      <c r="K30" s="23">
        <v>4662.7438922349465</v>
      </c>
      <c r="L30" s="17">
        <v>16.675249449928547</v>
      </c>
      <c r="M30" s="23">
        <v>194.5003147191095</v>
      </c>
      <c r="N30" s="21">
        <v>86.966255723605983</v>
      </c>
      <c r="O30" s="18">
        <v>6031.0914941111168</v>
      </c>
      <c r="P30" s="21">
        <v>14.354504107407903</v>
      </c>
      <c r="Q30" s="24">
        <v>16751.552346694636</v>
      </c>
      <c r="R30" s="102">
        <v>6.9530121968072889</v>
      </c>
    </row>
    <row r="31" spans="1:18" x14ac:dyDescent="0.2">
      <c r="A31" s="123"/>
      <c r="B31" s="105" t="str">
        <f>VLOOKUP("&lt;Zeilentitel_2.16&gt;",Uebersetzungen!$B$3:$E$205,Uebersetzungen!$B$2+1,FALSE)</f>
        <v>Appenzell Innerrhoden</v>
      </c>
      <c r="C31" s="18">
        <v>13537.999999999993</v>
      </c>
      <c r="D31" s="21">
        <v>1.7050358244601138</v>
      </c>
      <c r="E31" s="23">
        <v>6939.1346745663204</v>
      </c>
      <c r="F31" s="17">
        <v>10.17962157284034</v>
      </c>
      <c r="G31" s="23">
        <v>2057.6910156371096</v>
      </c>
      <c r="H31" s="21">
        <v>24.699051429797461</v>
      </c>
      <c r="I31" s="19">
        <v>4280.7543658070545</v>
      </c>
      <c r="J31" s="22">
        <v>14.980114780214668</v>
      </c>
      <c r="K31" s="24">
        <v>600.68929312215607</v>
      </c>
      <c r="L31" s="20">
        <v>47.710756326095947</v>
      </c>
      <c r="M31" s="24" t="s">
        <v>284</v>
      </c>
      <c r="N31" s="22" t="s">
        <v>284</v>
      </c>
      <c r="O31" s="18">
        <v>1728.2502530647248</v>
      </c>
      <c r="P31" s="21">
        <v>27.29358597878289</v>
      </c>
      <c r="Q31" s="24">
        <v>4870.6150723689489</v>
      </c>
      <c r="R31" s="102">
        <v>13.266624032164575</v>
      </c>
    </row>
    <row r="32" spans="1:18" x14ac:dyDescent="0.2">
      <c r="A32" s="123"/>
      <c r="B32" s="105" t="str">
        <f>VLOOKUP("&lt;Zeilentitel_2.17&gt;",Uebersetzungen!$B$3:$E$205,Uebersetzungen!$B$2+1,FALSE)</f>
        <v>St. Gallen</v>
      </c>
      <c r="C32" s="18">
        <v>436947.99999999389</v>
      </c>
      <c r="D32" s="21">
        <v>0.24636486103237112</v>
      </c>
      <c r="E32" s="23">
        <v>227444.22267995321</v>
      </c>
      <c r="F32" s="17">
        <v>1.7244161975268151</v>
      </c>
      <c r="G32" s="23">
        <v>40585.608833791302</v>
      </c>
      <c r="H32" s="21">
        <v>5.5155640424685046</v>
      </c>
      <c r="I32" s="18">
        <v>137435.77065345075</v>
      </c>
      <c r="J32" s="21">
        <v>2.6313394783364914</v>
      </c>
      <c r="K32" s="23">
        <v>48208.032955668234</v>
      </c>
      <c r="L32" s="17">
        <v>5.040639139945144</v>
      </c>
      <c r="M32" s="23">
        <v>1214.8102370426363</v>
      </c>
      <c r="N32" s="21">
        <v>34.547633290627459</v>
      </c>
      <c r="O32" s="18">
        <v>47139.679218415433</v>
      </c>
      <c r="P32" s="21">
        <v>5.1644043466558278</v>
      </c>
      <c r="Q32" s="23">
        <v>162364.0981016256</v>
      </c>
      <c r="R32" s="101">
        <v>2.264420362591828</v>
      </c>
    </row>
    <row r="33" spans="1:18" x14ac:dyDescent="0.2">
      <c r="A33" s="123"/>
      <c r="B33" s="106" t="str">
        <f>VLOOKUP("&lt;Zeilentitel_2.18&gt;",Uebersetzungen!$B$3:$E$205,Uebersetzungen!$B$2+1,FALSE)</f>
        <v>Graubünden</v>
      </c>
      <c r="C33" s="31">
        <v>172987.00000000134</v>
      </c>
      <c r="D33" s="28">
        <v>0.30992133630709445</v>
      </c>
      <c r="E33" s="29">
        <v>87369.353901552691</v>
      </c>
      <c r="F33" s="30">
        <v>2.8013031640154429</v>
      </c>
      <c r="G33" s="29">
        <v>24873.973989309787</v>
      </c>
      <c r="H33" s="28">
        <v>6.8680524970439958</v>
      </c>
      <c r="I33" s="31">
        <v>45644.941514537102</v>
      </c>
      <c r="J33" s="28">
        <v>4.676646145668399</v>
      </c>
      <c r="K33" s="29">
        <v>16202.380261573013</v>
      </c>
      <c r="L33" s="30">
        <v>8.6745642016290976</v>
      </c>
      <c r="M33" s="29">
        <v>648.05813613274222</v>
      </c>
      <c r="N33" s="28">
        <v>45.643124345137892</v>
      </c>
      <c r="O33" s="31">
        <v>20147.251132368765</v>
      </c>
      <c r="P33" s="28">
        <v>7.7679588752040667</v>
      </c>
      <c r="Q33" s="29">
        <v>65470.394966079926</v>
      </c>
      <c r="R33" s="103">
        <v>3.4907975001965874</v>
      </c>
    </row>
    <row r="34" spans="1:18" x14ac:dyDescent="0.2">
      <c r="A34" s="123"/>
      <c r="B34" s="105" t="str">
        <f>VLOOKUP("&lt;Zeilentitel_2.19&gt;",Uebersetzungen!$B$3:$E$205,Uebersetzungen!$B$2+1,FALSE)</f>
        <v>Aargau</v>
      </c>
      <c r="C34" s="18">
        <v>592754.00000001467</v>
      </c>
      <c r="D34" s="21">
        <v>0.14774617140956095</v>
      </c>
      <c r="E34" s="23">
        <v>296621.08550066629</v>
      </c>
      <c r="F34" s="17">
        <v>1.0666450224049167</v>
      </c>
      <c r="G34" s="23">
        <v>41020.385412484306</v>
      </c>
      <c r="H34" s="21">
        <v>3.8563833790675068</v>
      </c>
      <c r="I34" s="18">
        <v>184477.13819813021</v>
      </c>
      <c r="J34" s="21">
        <v>1.5770271003466978</v>
      </c>
      <c r="K34" s="23">
        <v>69763.256417036537</v>
      </c>
      <c r="L34" s="17">
        <v>2.9081141335610616</v>
      </c>
      <c r="M34" s="23">
        <v>1360.3054730147837</v>
      </c>
      <c r="N34" s="21">
        <v>22.94082741280824</v>
      </c>
      <c r="O34" s="18">
        <v>77655.83426440027</v>
      </c>
      <c r="P34" s="21">
        <v>2.7619942598828735</v>
      </c>
      <c r="Q34" s="23">
        <v>218477.08023494849</v>
      </c>
      <c r="R34" s="101">
        <v>1.3743375055926172</v>
      </c>
    </row>
    <row r="35" spans="1:18" ht="12.75" customHeight="1" x14ac:dyDescent="0.2">
      <c r="A35" s="123"/>
      <c r="B35" s="105" t="str">
        <f>VLOOKUP("&lt;Zeilentitel_2.20&gt;",Uebersetzungen!$B$3:$E$205,Uebersetzungen!$B$2+1,FALSE)</f>
        <v>Thurgau</v>
      </c>
      <c r="C35" s="18">
        <v>241240.99999999872</v>
      </c>
      <c r="D35" s="21">
        <v>0.22864373436404414</v>
      </c>
      <c r="E35" s="23">
        <v>123919.23015846615</v>
      </c>
      <c r="F35" s="17">
        <v>1.6479000348950754</v>
      </c>
      <c r="G35" s="23">
        <v>21684.500258403288</v>
      </c>
      <c r="H35" s="21">
        <v>5.3304387197427365</v>
      </c>
      <c r="I35" s="18">
        <v>81952.948174075907</v>
      </c>
      <c r="J35" s="21">
        <v>2.330258764939638</v>
      </c>
      <c r="K35" s="23">
        <v>19581.932239091442</v>
      </c>
      <c r="L35" s="17">
        <v>5.6436528479473216</v>
      </c>
      <c r="M35" s="23">
        <v>699.84948689565203</v>
      </c>
      <c r="N35" s="21">
        <v>33.18729785761542</v>
      </c>
      <c r="O35" s="18">
        <v>29320.887676215098</v>
      </c>
      <c r="P35" s="21">
        <v>4.5160157519353881</v>
      </c>
      <c r="Q35" s="23">
        <v>88000.882165317322</v>
      </c>
      <c r="R35" s="101">
        <v>2.145379623682711</v>
      </c>
    </row>
    <row r="36" spans="1:18" x14ac:dyDescent="0.2">
      <c r="A36" s="123"/>
      <c r="B36" s="105" t="str">
        <f>VLOOKUP("&lt;Zeilentitel_2.21&gt;",Uebersetzungen!$B$3:$E$205,Uebersetzungen!$B$2+1,FALSE)</f>
        <v>Ticino</v>
      </c>
      <c r="C36" s="18">
        <v>303163.00000000268</v>
      </c>
      <c r="D36" s="21">
        <v>0.17623012132822186</v>
      </c>
      <c r="E36" s="23">
        <v>124249.53031046456</v>
      </c>
      <c r="F36" s="17">
        <v>1.7510874554688729</v>
      </c>
      <c r="G36" s="23">
        <v>20169.933492761964</v>
      </c>
      <c r="H36" s="21">
        <v>5.4614479315480651</v>
      </c>
      <c r="I36" s="18">
        <v>79347.525544643242</v>
      </c>
      <c r="J36" s="21">
        <v>2.4317497871118969</v>
      </c>
      <c r="K36" s="23">
        <v>23853.689885851447</v>
      </c>
      <c r="L36" s="17">
        <v>5.0521915965418183</v>
      </c>
      <c r="M36" s="23">
        <v>878.38138720797804</v>
      </c>
      <c r="N36" s="21">
        <v>28.387854074863473</v>
      </c>
      <c r="O36" s="18">
        <v>31089.911169069252</v>
      </c>
      <c r="P36" s="21">
        <v>4.3710072281076604</v>
      </c>
      <c r="Q36" s="23">
        <v>147823.55852046877</v>
      </c>
      <c r="R36" s="101">
        <v>1.5109896354831407</v>
      </c>
    </row>
    <row r="37" spans="1:18" x14ac:dyDescent="0.2">
      <c r="A37" s="123"/>
      <c r="B37" s="105" t="str">
        <f>VLOOKUP("&lt;Zeilentitel_2.22&gt;",Uebersetzungen!$B$3:$E$205,Uebersetzungen!$B$2+1,FALSE)</f>
        <v>Vaud</v>
      </c>
      <c r="C37" s="18">
        <v>678300.00000000419</v>
      </c>
      <c r="D37" s="21">
        <v>0.14318553783241697</v>
      </c>
      <c r="E37" s="23">
        <v>316216.0089445092</v>
      </c>
      <c r="F37" s="17">
        <v>1.0582333650078051</v>
      </c>
      <c r="G37" s="23">
        <v>42665.768741220745</v>
      </c>
      <c r="H37" s="21">
        <v>3.8273126802074446</v>
      </c>
      <c r="I37" s="18">
        <v>164228.17987194803</v>
      </c>
      <c r="J37" s="21">
        <v>1.7069881362493624</v>
      </c>
      <c r="K37" s="23">
        <v>107617.77509696499</v>
      </c>
      <c r="L37" s="17">
        <v>2.2699535987347299</v>
      </c>
      <c r="M37" s="23">
        <v>1704.2852343756051</v>
      </c>
      <c r="N37" s="21">
        <v>20.391041276280877</v>
      </c>
      <c r="O37" s="18">
        <v>79409.271968244502</v>
      </c>
      <c r="P37" s="21">
        <v>2.730745293568924</v>
      </c>
      <c r="Q37" s="23">
        <v>282674.71908725036</v>
      </c>
      <c r="R37" s="101">
        <v>1.1729267308784459</v>
      </c>
    </row>
    <row r="38" spans="1:18" x14ac:dyDescent="0.2">
      <c r="A38" s="123"/>
      <c r="B38" s="105" t="str">
        <f>VLOOKUP("&lt;Zeilentitel_2.23&gt;",Uebersetzungen!$B$3:$E$205,Uebersetzungen!$B$2+1,FALSE)</f>
        <v>Wallis</v>
      </c>
      <c r="C38" s="18">
        <v>299210</v>
      </c>
      <c r="D38" s="21">
        <v>0.29170246422488061</v>
      </c>
      <c r="E38" s="23">
        <v>144078.18644707726</v>
      </c>
      <c r="F38" s="17">
        <v>2.2338580239244559</v>
      </c>
      <c r="G38" s="23">
        <v>24922.548381024979</v>
      </c>
      <c r="H38" s="21">
        <v>7.0456136036697963</v>
      </c>
      <c r="I38" s="18">
        <v>95381.298844766876</v>
      </c>
      <c r="J38" s="21">
        <v>3.1237410166541753</v>
      </c>
      <c r="K38" s="23">
        <v>22597.850028082343</v>
      </c>
      <c r="L38" s="17">
        <v>7.4211739753127119</v>
      </c>
      <c r="M38" s="23">
        <v>1176.4891932030291</v>
      </c>
      <c r="N38" s="21">
        <v>34.437966737213863</v>
      </c>
      <c r="O38" s="18">
        <v>30642.194070700141</v>
      </c>
      <c r="P38" s="21">
        <v>6.3320883432621287</v>
      </c>
      <c r="Q38" s="23">
        <v>124489.6194822226</v>
      </c>
      <c r="R38" s="101">
        <v>2.4623550101301923</v>
      </c>
    </row>
    <row r="39" spans="1:18" x14ac:dyDescent="0.2">
      <c r="A39" s="123"/>
      <c r="B39" s="105" t="str">
        <f>VLOOKUP("&lt;Zeilentitel_2.24&gt;",Uebersetzungen!$B$3:$E$205,Uebersetzungen!$B$2+1,FALSE)</f>
        <v>Neuchâtel</v>
      </c>
      <c r="C39" s="18">
        <v>147269.99999999863</v>
      </c>
      <c r="D39" s="21">
        <v>0.30607967779641138</v>
      </c>
      <c r="E39" s="23">
        <v>72726.691897610872</v>
      </c>
      <c r="F39" s="17">
        <v>2.1632512690645043</v>
      </c>
      <c r="G39" s="23">
        <v>10110.61898015519</v>
      </c>
      <c r="H39" s="21">
        <v>7.8472554420742258</v>
      </c>
      <c r="I39" s="18">
        <v>43303.392775635104</v>
      </c>
      <c r="J39" s="21">
        <v>3.2541994588478729</v>
      </c>
      <c r="K39" s="23">
        <v>18885.129303243215</v>
      </c>
      <c r="L39" s="17">
        <v>5.5299110008221488</v>
      </c>
      <c r="M39" s="23">
        <v>427.55083857735713</v>
      </c>
      <c r="N39" s="21">
        <v>41.958602047014097</v>
      </c>
      <c r="O39" s="18">
        <v>13008.19581453032</v>
      </c>
      <c r="P39" s="21">
        <v>6.8708171774738185</v>
      </c>
      <c r="Q39" s="23">
        <v>61535.112287857446</v>
      </c>
      <c r="R39" s="101">
        <v>2.4363102957678451</v>
      </c>
    </row>
    <row r="40" spans="1:18" x14ac:dyDescent="0.2">
      <c r="A40" s="123"/>
      <c r="B40" s="105" t="str">
        <f>VLOOKUP("&lt;Zeilentitel_2.25&gt;",Uebersetzungen!$B$3:$E$205,Uebersetzungen!$B$2+1,FALSE)</f>
        <v>Genève</v>
      </c>
      <c r="C40" s="18">
        <v>392799.99999999802</v>
      </c>
      <c r="D40" s="21">
        <v>0.23111712258106998</v>
      </c>
      <c r="E40" s="23">
        <v>169851.95736610121</v>
      </c>
      <c r="F40" s="17">
        <v>1.5505388316258162</v>
      </c>
      <c r="G40" s="23">
        <v>42182.236609007952</v>
      </c>
      <c r="H40" s="21">
        <v>3.8336960908692728</v>
      </c>
      <c r="I40" s="18">
        <v>51950.622633096325</v>
      </c>
      <c r="J40" s="21">
        <v>3.3631670062375822</v>
      </c>
      <c r="K40" s="23">
        <v>73991.801466150879</v>
      </c>
      <c r="L40" s="17">
        <v>2.8212041536234844</v>
      </c>
      <c r="M40" s="23">
        <v>1727.2966578460655</v>
      </c>
      <c r="N40" s="21">
        <v>20.872711543697356</v>
      </c>
      <c r="O40" s="18">
        <v>42164.85033929241</v>
      </c>
      <c r="P40" s="21">
        <v>3.9800815143758066</v>
      </c>
      <c r="Q40" s="23">
        <v>180783.19229460438</v>
      </c>
      <c r="R40" s="101">
        <v>1.4640564488628207</v>
      </c>
    </row>
    <row r="41" spans="1:18" ht="13.5" thickBot="1" x14ac:dyDescent="0.25">
      <c r="A41" s="124"/>
      <c r="B41" s="107" t="str">
        <f>VLOOKUP("&lt;Zeilentitel_2.26&gt;",Uebersetzungen!$B$3:$E$205,Uebersetzungen!$B$2+1,FALSE)</f>
        <v>Jura</v>
      </c>
      <c r="C41" s="55">
        <v>61633.999999999673</v>
      </c>
      <c r="D41" s="52">
        <v>0.65787418006009679</v>
      </c>
      <c r="E41" s="53">
        <v>28819.601017349189</v>
      </c>
      <c r="F41" s="54">
        <v>4.9790292931222249</v>
      </c>
      <c r="G41" s="53">
        <v>4568.009469239445</v>
      </c>
      <c r="H41" s="52">
        <v>16.448487511333454</v>
      </c>
      <c r="I41" s="55">
        <v>20030.175434566925</v>
      </c>
      <c r="J41" s="52">
        <v>6.6827435281387668</v>
      </c>
      <c r="K41" s="56">
        <v>4186.8483698195159</v>
      </c>
      <c r="L41" s="57">
        <v>17.342601659925641</v>
      </c>
      <c r="M41" s="56" t="s">
        <v>284</v>
      </c>
      <c r="N41" s="58" t="s">
        <v>284</v>
      </c>
      <c r="O41" s="55">
        <v>5306.615294935873</v>
      </c>
      <c r="P41" s="52">
        <v>15.278597728694834</v>
      </c>
      <c r="Q41" s="56">
        <v>27507.783687714596</v>
      </c>
      <c r="R41" s="104">
        <v>5.2396193059756255</v>
      </c>
    </row>
    <row r="42" spans="1:18" x14ac:dyDescent="0.2">
      <c r="A42" s="16"/>
      <c r="B42" s="10"/>
      <c r="C42" s="9"/>
      <c r="D42" s="11"/>
      <c r="E42" s="12"/>
      <c r="F42" s="13"/>
      <c r="G42" s="14"/>
      <c r="H42" s="13"/>
      <c r="I42" s="14"/>
      <c r="J42" s="13"/>
      <c r="K42" s="14"/>
      <c r="L42" s="14"/>
      <c r="M42" s="13"/>
      <c r="N42" s="14"/>
    </row>
    <row r="43" spans="1:18" x14ac:dyDescent="0.2">
      <c r="A43" s="15" t="str">
        <f>VLOOKUP("&lt;Legende_1&gt;",Uebersetzungen!$B$3:$E$205,Uebersetzungen!$B$2+1,FALSE)</f>
        <v>(): Extrapolation aufgrund von 49 oder weniger Beobachtungen. Die Resultate sind mit grosser Vorsicht zu interpretieren.</v>
      </c>
    </row>
    <row r="44" spans="1:18" x14ac:dyDescent="0.2">
      <c r="A44" s="15" t="str">
        <f>VLOOKUP("&lt;Legende_2&gt;",Uebersetzungen!$B$3:$E$205,Uebersetzungen!$B$2+1,FALSE)</f>
        <v>X: Extrapolation aufgrund von 4 oder weniger Beobachtungen. Die Resultate werden aus Gründen des Datenschutzes nicht publiziert.</v>
      </c>
    </row>
    <row r="45" spans="1:18" x14ac:dyDescent="0.2">
      <c r="A45" s="15" t="str">
        <f>VLOOKUP("&lt;Legende_3&gt;",Uebersetzungen!$B$3:$E$205,Uebersetzungen!$B$2+1,FALSE)</f>
        <v>Langsamverkehr: zu Fuss, Velo, elektrisches Velo</v>
      </c>
    </row>
    <row r="46" spans="1:18" x14ac:dyDescent="0.2">
      <c r="A46" s="15" t="str">
        <f>VLOOKUP("&lt;Legende_4&gt;",Uebersetzungen!$B$3:$E$205,Uebersetzungen!$B$2+1,FALSE)</f>
        <v>Motorisierter Individualverkehr: Auto, Motorrad, Werkbus</v>
      </c>
    </row>
    <row r="47" spans="1:18" x14ac:dyDescent="0.2">
      <c r="A47" s="15" t="str">
        <f>VLOOKUP("&lt;Legende_5&gt;",Uebersetzungen!$B$3:$E$205,Uebersetzungen!$B$2+1,FALSE)</f>
        <v>Öffentlicher Verkehr: Eisenbahn, Tram, Metro, Autobus</v>
      </c>
    </row>
    <row r="48" spans="1:18" x14ac:dyDescent="0.2">
      <c r="A48" s="15" t="str">
        <f>VLOOKUP("&lt;Legende_6&gt;",Uebersetzungen!$B$3:$E$205,Uebersetzungen!$B$2+1,FALSE)</f>
        <v>Andere Verkehrsmittel: Schiff, Seilbahn, Trottinett</v>
      </c>
    </row>
    <row r="49" spans="1:1" x14ac:dyDescent="0.2">
      <c r="A49" s="15" t="str">
        <f>VLOOKUP("&lt;Legende_7&gt;",Uebersetzungen!$B$3:$E$205,Uebersetzungen!$B$2+1,FALSE)</f>
        <v>Die Grundgesamtheit der Strukturerhebung enthält alle Personen der ständigen Wohnbevölkerung ab vollendetem 15. Altersjahr, die in Privathaushalten leben.</v>
      </c>
    </row>
    <row r="50" spans="1:1" x14ac:dyDescent="0.2">
      <c r="A50" s="15" t="str">
        <f>VLOOKUP("&lt;Legende_8&gt;",Uebersetzungen!$B$3:$E$205,Uebersetzungen!$B$2+1,FALSE)</f>
        <v>Aus der Grundgesamtheit ausgeschlossen wurden neben den Personen, die in Kollektivhaushalten leben, auch Diplomaten, internationale Funktionäre und deren Angehörige.</v>
      </c>
    </row>
    <row r="52" spans="1:1" x14ac:dyDescent="0.2">
      <c r="A52" s="1" t="str">
        <f>VLOOKUP("&lt;quelle_1&gt;",Uebersetzungen!$B$3:$E$205,Uebersetzungen!$B$2+1,FALSE)</f>
        <v>Quelle: BFS (Strukturerhebung)</v>
      </c>
    </row>
    <row r="53" spans="1:1" x14ac:dyDescent="0.2">
      <c r="A53" s="1" t="str">
        <f>VLOOKUP("&lt;aktualisierung&gt;",Uebersetzungen!$B$3:$E$205,Uebersetzungen!$B$2+1,FALSE)</f>
        <v>Letztmals aktualisiert am: 26.01.2024</v>
      </c>
    </row>
  </sheetData>
  <sheetProtection sheet="1" objects="1" scenarios="1"/>
  <mergeCells count="11">
    <mergeCell ref="A16:A41"/>
    <mergeCell ref="Q13:R13"/>
    <mergeCell ref="A7:B7"/>
    <mergeCell ref="K13:L13"/>
    <mergeCell ref="M13:N13"/>
    <mergeCell ref="O13:P13"/>
    <mergeCell ref="C13:D13"/>
    <mergeCell ref="E13:F13"/>
    <mergeCell ref="G13:H13"/>
    <mergeCell ref="I13:J13"/>
    <mergeCell ref="C12:R12"/>
  </mergeCells>
  <pageMargins left="0.7" right="0.7" top="0.78740157499999996" bottom="0.78740157499999996" header="0.3" footer="0.3"/>
  <pageSetup paperSize="9" orientation="portrait" r:id="rId1"/>
  <ignoredErrors>
    <ignoredError sqref="E14:G14 H14:I14 J14:K14 L14:N14 O14:Q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485775</xdr:colOff>
                    <xdr:row>1</xdr:row>
                    <xdr:rowOff>114300</xdr:rowOff>
                  </from>
                  <to>
                    <xdr:col>5</xdr:col>
                    <xdr:colOff>66675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485775</xdr:colOff>
                    <xdr:row>2</xdr:row>
                    <xdr:rowOff>104775</xdr:rowOff>
                  </from>
                  <to>
                    <xdr:col>5</xdr:col>
                    <xdr:colOff>466725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</xdr:col>
                    <xdr:colOff>485775</xdr:colOff>
                    <xdr:row>3</xdr:row>
                    <xdr:rowOff>66675</xdr:rowOff>
                  </from>
                  <to>
                    <xdr:col>5</xdr:col>
                    <xdr:colOff>66675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3"/>
  <sheetViews>
    <sheetView showGridLines="0" workbookViewId="0"/>
  </sheetViews>
  <sheetFormatPr baseColWidth="10" defaultColWidth="11.42578125" defaultRowHeight="12.75" x14ac:dyDescent="0.2"/>
  <cols>
    <col min="1" max="1" width="26.85546875" style="33" customWidth="1"/>
    <col min="2" max="2" width="55.5703125" style="33" customWidth="1"/>
    <col min="3" max="18" width="12" style="33" customWidth="1"/>
    <col min="19" max="16384" width="11.42578125" style="33"/>
  </cols>
  <sheetData>
    <row r="1" spans="1:18" s="2" customFormat="1" x14ac:dyDescent="0.2"/>
    <row r="2" spans="1:18" s="2" customFormat="1" ht="15.75" x14ac:dyDescent="0.25">
      <c r="B2" s="3"/>
      <c r="C2" s="1"/>
      <c r="D2" s="1"/>
    </row>
    <row r="3" spans="1:18" s="2" customFormat="1" ht="15.75" x14ac:dyDescent="0.25">
      <c r="B3" s="3"/>
      <c r="C3" s="1"/>
      <c r="D3" s="1"/>
    </row>
    <row r="4" spans="1:18" s="2" customFormat="1" ht="15.75" x14ac:dyDescent="0.25">
      <c r="B4" s="3"/>
      <c r="C4" s="1"/>
      <c r="D4" s="1"/>
    </row>
    <row r="5" spans="1:18" s="2" customFormat="1" x14ac:dyDescent="0.2"/>
    <row r="6" spans="1:18" s="2" customFormat="1" x14ac:dyDescent="0.2"/>
    <row r="7" spans="1:18" s="2" customFormat="1" ht="15.75" customHeight="1" x14ac:dyDescent="0.2">
      <c r="A7" s="127" t="str">
        <f>VLOOKUP("&lt;Fachbereich&gt;",Uebersetzungen!$B$3:$E$206,Uebersetzungen!$B$2+1,FALSE)</f>
        <v>Daten &amp; Statistik</v>
      </c>
      <c r="B7" s="127"/>
      <c r="C7" s="4"/>
      <c r="D7" s="4"/>
      <c r="E7" s="4"/>
      <c r="F7" s="4"/>
      <c r="G7" s="4"/>
      <c r="H7" s="4"/>
    </row>
    <row r="8" spans="1:18" s="2" customFormat="1" x14ac:dyDescent="0.2"/>
    <row r="9" spans="1:18" s="8" customFormat="1" ht="18" x14ac:dyDescent="0.2">
      <c r="A9" s="25" t="str">
        <f>VLOOKUP("&lt;T2Titel&gt;",Uebersetzungen!$B$3:$E$206,Uebersetzungen!$B$2+1,FALSE)</f>
        <v>Hauptverkehrsmittel zur Arbeitsstätte (aggregiert) nach verschiedenen soziodemografischen Merkmalen im Kanton Graubünden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s="8" customFormat="1" ht="15" x14ac:dyDescent="0.2">
      <c r="A10" s="26" t="str">
        <f>VLOOKUP("&lt;UTitel&gt;",Uebersetzungen!$B$3:$E$206,Uebersetzungen!$B$2+1,FALSE)</f>
        <v>Ständige schweizerische Wohnbevölkerung ab 15 Jahren</v>
      </c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18" s="8" customFormat="1" ht="15.75" thickBot="1" x14ac:dyDescent="0.25">
      <c r="A11" s="26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</row>
    <row r="12" spans="1:18" s="8" customFormat="1" ht="18.75" thickBot="1" x14ac:dyDescent="0.3">
      <c r="A12" s="60"/>
      <c r="B12" s="87"/>
      <c r="C12" s="136">
        <v>2022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/>
    </row>
    <row r="13" spans="1:18" ht="39.75" customHeight="1" thickBot="1" x14ac:dyDescent="0.25">
      <c r="A13" s="61"/>
      <c r="B13" s="86"/>
      <c r="C13" s="128" t="str">
        <f>VLOOKUP("&lt;SpaltenTitel_1&gt;",Uebersetzungen!$B$3:$E$206,Uebersetzungen!$B$2+1,FALSE)</f>
        <v>Total</v>
      </c>
      <c r="D13" s="125"/>
      <c r="E13" s="125" t="str">
        <f>VLOOKUP("&lt;SpaltenTitel_2&gt;",Uebersetzungen!$B$3:$E$206,Uebersetzungen!$B$2+1,FALSE)</f>
        <v>Total Pendler/-innen zur Arbeitsstätte</v>
      </c>
      <c r="F13" s="125"/>
      <c r="G13" s="125" t="str">
        <f>VLOOKUP("&lt;SpaltenTitel_3&gt;",Uebersetzungen!$B$3:$E$206,Uebersetzungen!$B$2+1,FALSE)</f>
        <v xml:space="preserve">Langsamverkehr </v>
      </c>
      <c r="H13" s="125"/>
      <c r="I13" s="125" t="str">
        <f>VLOOKUP("&lt;SpaltenTitel_4&gt;",Uebersetzungen!$B$3:$E$206,Uebersetzungen!$B$2+1,FALSE)</f>
        <v>Motorisierter Individualverkehr</v>
      </c>
      <c r="J13" s="125"/>
      <c r="K13" s="125" t="str">
        <f>VLOOKUP("&lt;SpaltenTitel_5&gt;",Uebersetzungen!$B$3:$E$206,Uebersetzungen!$B$2+1,FALSE)</f>
        <v xml:space="preserve">Öffentlicher Verkehr </v>
      </c>
      <c r="L13" s="125"/>
      <c r="M13" s="125" t="str">
        <f>VLOOKUP("&lt;SpaltenTitel_6&gt;",Uebersetzungen!$B$3:$E$206,Uebersetzungen!$B$2+1,FALSE)</f>
        <v>Übrige Verkehrsmittel</v>
      </c>
      <c r="N13" s="125"/>
      <c r="O13" s="125" t="str">
        <f>VLOOKUP("&lt;SpaltenTitel_7&gt;",Uebersetzungen!$B$3:$E$206,Uebersetzungen!$B$2+1,FALSE)</f>
        <v>Erwerbstätige Nichtpendler/-innen</v>
      </c>
      <c r="P13" s="125"/>
      <c r="Q13" s="125" t="str">
        <f>VLOOKUP("&lt;SpaltenTitel_8&gt;",Uebersetzungen!$B$3:$E$206,Uebersetzungen!$B$2+1,FALSE)</f>
        <v>Erwerbslose und Nichterwerbspersonen</v>
      </c>
      <c r="R13" s="126"/>
    </row>
    <row r="14" spans="1:18" ht="38.25" customHeight="1" thickBot="1" x14ac:dyDescent="0.25">
      <c r="A14" s="68"/>
      <c r="B14" s="68"/>
      <c r="C14" s="94" t="str">
        <f>VLOOKUP("&lt;SpaltenTitel_1.1&gt;",Uebersetzungen!$B$3:$E$206,Uebersetzungen!$B$2+1,FALSE)</f>
        <v>Anzahl Personen</v>
      </c>
      <c r="D14" s="95" t="str">
        <f>VLOOKUP("&lt;SpaltenTitel_1.2&gt;",Uebersetzungen!$B$3:$E$206,Uebersetzungen!$B$2+1,FALSE)</f>
        <v>Vertrauens- intervall:          ± (in %)</v>
      </c>
      <c r="E14" s="96" t="str">
        <f>VLOOKUP("&lt;SpaltenTitel_1.1&gt;",Uebersetzungen!$B$3:$E$206,Uebersetzungen!$B$2+1,FALSE)</f>
        <v>Anzahl Personen</v>
      </c>
      <c r="F14" s="95" t="str">
        <f>VLOOKUP("&lt;SpaltenTitel_1.2&gt;",Uebersetzungen!$B$3:$E$206,Uebersetzungen!$B$2+1,FALSE)</f>
        <v>Vertrauens- intervall:          ± (in %)</v>
      </c>
      <c r="G14" s="96" t="str">
        <f>VLOOKUP("&lt;SpaltenTitel_1.1&gt;",Uebersetzungen!$B$3:$E$206,Uebersetzungen!$B$2+1,FALSE)</f>
        <v>Anzahl Personen</v>
      </c>
      <c r="H14" s="95" t="str">
        <f>VLOOKUP("&lt;SpaltenTitel_1.2&gt;",Uebersetzungen!$B$3:$E$206,Uebersetzungen!$B$2+1,FALSE)</f>
        <v>Vertrauens- intervall:          ± (in %)</v>
      </c>
      <c r="I14" s="96" t="str">
        <f>VLOOKUP("&lt;SpaltenTitel_1.1&gt;",Uebersetzungen!$B$3:$E$206,Uebersetzungen!$B$2+1,FALSE)</f>
        <v>Anzahl Personen</v>
      </c>
      <c r="J14" s="95" t="str">
        <f>VLOOKUP("&lt;SpaltenTitel_1.2&gt;",Uebersetzungen!$B$3:$E$206,Uebersetzungen!$B$2+1,FALSE)</f>
        <v>Vertrauens- intervall:          ± (in %)</v>
      </c>
      <c r="K14" s="96" t="str">
        <f>VLOOKUP("&lt;SpaltenTitel_1.1&gt;",Uebersetzungen!$B$3:$E$206,Uebersetzungen!$B$2+1,FALSE)</f>
        <v>Anzahl Personen</v>
      </c>
      <c r="L14" s="95" t="str">
        <f>VLOOKUP("&lt;SpaltenTitel_1.2&gt;",Uebersetzungen!$B$3:$E$206,Uebersetzungen!$B$2+1,FALSE)</f>
        <v>Vertrauens- intervall:          ± (in %)</v>
      </c>
      <c r="M14" s="96" t="str">
        <f>VLOOKUP("&lt;SpaltenTitel_1.1&gt;",Uebersetzungen!$B$3:$E$206,Uebersetzungen!$B$2+1,FALSE)</f>
        <v>Anzahl Personen</v>
      </c>
      <c r="N14" s="95" t="str">
        <f>VLOOKUP("&lt;SpaltenTitel_1.2&gt;",Uebersetzungen!$B$3:$E$206,Uebersetzungen!$B$2+1,FALSE)</f>
        <v>Vertrauens- intervall:          ± (in %)</v>
      </c>
      <c r="O14" s="96" t="str">
        <f>VLOOKUP("&lt;SpaltenTitel_1.1&gt;",Uebersetzungen!$B$3:$E$206,Uebersetzungen!$B$2+1,FALSE)</f>
        <v>Anzahl Personen</v>
      </c>
      <c r="P14" s="95" t="str">
        <f>VLOOKUP("&lt;SpaltenTitel_1.2&gt;",Uebersetzungen!$B$3:$E$206,Uebersetzungen!$B$2+1,FALSE)</f>
        <v>Vertrauens- intervall:          ± (in %)</v>
      </c>
      <c r="Q14" s="96" t="str">
        <f>VLOOKUP("&lt;SpaltenTitel_1.1&gt;",Uebersetzungen!$B$3:$E$206,Uebersetzungen!$B$2+1,FALSE)</f>
        <v>Anzahl Personen</v>
      </c>
      <c r="R14" s="97" t="str">
        <f>VLOOKUP("&lt;SpaltenTitel_1.2&gt;",Uebersetzungen!$B$3:$E$206,Uebersetzungen!$B$2+1,FALSE)</f>
        <v>Vertrauens- intervall:          ± (in %)</v>
      </c>
    </row>
    <row r="15" spans="1:18" x14ac:dyDescent="0.2">
      <c r="A15" s="139" t="str">
        <f>VLOOKUP("&lt;T2Zeilentitel_1&gt;",Uebersetzungen!$B$3:$E$205,Uebersetzungen!$B$2+1,FALSE)</f>
        <v>Total</v>
      </c>
      <c r="B15" s="140"/>
      <c r="C15" s="89">
        <v>172987.00000000134</v>
      </c>
      <c r="D15" s="45">
        <v>0.30992133630709445</v>
      </c>
      <c r="E15" s="88">
        <v>87369.353901552691</v>
      </c>
      <c r="F15" s="47">
        <v>2.8013031640154429</v>
      </c>
      <c r="G15" s="88">
        <v>24873.973989309787</v>
      </c>
      <c r="H15" s="45">
        <v>6.8680524970439958</v>
      </c>
      <c r="I15" s="89">
        <v>45644.941514537102</v>
      </c>
      <c r="J15" s="45">
        <v>4.676646145668399</v>
      </c>
      <c r="K15" s="88">
        <v>16202.380261573013</v>
      </c>
      <c r="L15" s="47">
        <v>8.6745642016290976</v>
      </c>
      <c r="M15" s="88">
        <v>648.05813613274222</v>
      </c>
      <c r="N15" s="45">
        <v>45.643124345137892</v>
      </c>
      <c r="O15" s="89">
        <v>20147.251132368765</v>
      </c>
      <c r="P15" s="45">
        <v>7.7679588752040667</v>
      </c>
      <c r="Q15" s="88">
        <v>65470.394966079926</v>
      </c>
      <c r="R15" s="109">
        <v>3.4907975001965874</v>
      </c>
    </row>
    <row r="16" spans="1:18" x14ac:dyDescent="0.2">
      <c r="A16" s="141" t="str">
        <f>VLOOKUP("&lt;T2Zeilentitel_2&gt;",Uebersetzungen!$B$3:$E$205,Uebersetzungen!$B$2+1,FALSE)</f>
        <v>Geschlecht</v>
      </c>
      <c r="B16" s="119" t="str">
        <f>VLOOKUP("&lt;T2Zeilentitel_2.1&gt;",Uebersetzungen!$B$3:$E$205,Uebersetzungen!$B$2+1,FALSE)</f>
        <v>Männer</v>
      </c>
      <c r="C16" s="70">
        <v>86763.000000001426</v>
      </c>
      <c r="D16" s="35">
        <v>2.8238600372240663</v>
      </c>
      <c r="E16" s="69">
        <v>44459.039265650666</v>
      </c>
      <c r="F16" s="36">
        <v>4.8209949996222461</v>
      </c>
      <c r="G16" s="69">
        <v>11928.507968664457</v>
      </c>
      <c r="H16" s="35">
        <v>10.412201726026124</v>
      </c>
      <c r="I16" s="70">
        <v>25112.837356624546</v>
      </c>
      <c r="J16" s="35">
        <v>6.8461777356702136</v>
      </c>
      <c r="K16" s="69">
        <v>6990.1735537216891</v>
      </c>
      <c r="L16" s="36">
        <v>13.689808988818845</v>
      </c>
      <c r="M16" s="69">
        <v>427.52038663999411</v>
      </c>
      <c r="N16" s="35">
        <v>55.995569978773517</v>
      </c>
      <c r="O16" s="70">
        <v>13383.064961958547</v>
      </c>
      <c r="P16" s="35">
        <v>9.7991133035770037</v>
      </c>
      <c r="Q16" s="71">
        <v>28920.895772392199</v>
      </c>
      <c r="R16" s="110">
        <v>6.1233044778984365</v>
      </c>
    </row>
    <row r="17" spans="1:18" x14ac:dyDescent="0.2">
      <c r="A17" s="142"/>
      <c r="B17" s="120" t="str">
        <f>VLOOKUP("&lt;T2Zeilentitel_2.2&gt;",Uebersetzungen!$B$3:$E$205,Uebersetzungen!$B$2+1,FALSE)</f>
        <v>Frauen</v>
      </c>
      <c r="C17" s="48">
        <v>86223.999999999884</v>
      </c>
      <c r="D17" s="45">
        <v>2.7581960888754877</v>
      </c>
      <c r="E17" s="46">
        <v>42910.314635902025</v>
      </c>
      <c r="F17" s="47">
        <v>4.8302344903476158</v>
      </c>
      <c r="G17" s="46">
        <v>12945.466020645328</v>
      </c>
      <c r="H17" s="45">
        <v>9.8033658810472346</v>
      </c>
      <c r="I17" s="48">
        <v>20532.104157912559</v>
      </c>
      <c r="J17" s="45">
        <v>7.5209866761053901</v>
      </c>
      <c r="K17" s="46">
        <v>9212.2067078513228</v>
      </c>
      <c r="L17" s="47">
        <v>11.678940687480912</v>
      </c>
      <c r="M17" s="46">
        <v>220.53774949274805</v>
      </c>
      <c r="N17" s="45">
        <v>78.96661015802998</v>
      </c>
      <c r="O17" s="48">
        <v>6764.1861704102157</v>
      </c>
      <c r="P17" s="45">
        <v>13.766304377012631</v>
      </c>
      <c r="Q17" s="49">
        <v>36549.499193687727</v>
      </c>
      <c r="R17" s="111">
        <v>5.2584356536595003</v>
      </c>
    </row>
    <row r="18" spans="1:18" x14ac:dyDescent="0.2">
      <c r="A18" s="132" t="str">
        <f>VLOOKUP("&lt;T2Zeilentitel_3&gt;",Uebersetzungen!$B$3:$E$205,Uebersetzungen!$B$2+1,FALSE)</f>
        <v>Alter</v>
      </c>
      <c r="B18" s="121" t="str">
        <f>VLOOKUP("&lt;T2Zeilentitel_3.1&gt;",Uebersetzungen!$B$3:$E$205,Uebersetzungen!$B$2+1,FALSE)</f>
        <v>15-24</v>
      </c>
      <c r="C18" s="70">
        <v>18891.000000000178</v>
      </c>
      <c r="D18" s="35">
        <v>8.1326481053992339</v>
      </c>
      <c r="E18" s="69">
        <v>8555.8092668420413</v>
      </c>
      <c r="F18" s="36">
        <v>12.539859460527943</v>
      </c>
      <c r="G18" s="69">
        <v>1874.4236771848405</v>
      </c>
      <c r="H18" s="35">
        <v>27.547083801985593</v>
      </c>
      <c r="I18" s="70">
        <v>3565.0422498797211</v>
      </c>
      <c r="J18" s="35">
        <v>19.888427573406361</v>
      </c>
      <c r="K18" s="71">
        <v>2971.5532390270887</v>
      </c>
      <c r="L18" s="72">
        <v>21.241128671433163</v>
      </c>
      <c r="M18" s="69" t="s">
        <v>284</v>
      </c>
      <c r="N18" s="35" t="s">
        <v>284</v>
      </c>
      <c r="O18" s="70">
        <v>1111.9655644817688</v>
      </c>
      <c r="P18" s="35">
        <v>36.17028837086378</v>
      </c>
      <c r="Q18" s="69">
        <v>9223.2251686763739</v>
      </c>
      <c r="R18" s="112">
        <v>11.864568661756278</v>
      </c>
    </row>
    <row r="19" spans="1:18" x14ac:dyDescent="0.2">
      <c r="A19" s="133"/>
      <c r="B19" s="119" t="str">
        <f>VLOOKUP("&lt;T2Zeilentitel_3.2&gt;",Uebersetzungen!$B$3:$E$205,Uebersetzungen!$B$2+1,FALSE)</f>
        <v>25-44</v>
      </c>
      <c r="C19" s="40">
        <v>50864.000000000371</v>
      </c>
      <c r="D19" s="37">
        <v>4.4311277725070459</v>
      </c>
      <c r="E19" s="38">
        <v>36586.918778340179</v>
      </c>
      <c r="F19" s="39">
        <v>5.4577009504040639</v>
      </c>
      <c r="G19" s="38">
        <v>10420.697185499819</v>
      </c>
      <c r="H19" s="37">
        <v>11.189371933426465</v>
      </c>
      <c r="I19" s="40">
        <v>19454.141890185962</v>
      </c>
      <c r="J19" s="37">
        <v>7.8861561676615759</v>
      </c>
      <c r="K19" s="38">
        <v>6522.6123611675239</v>
      </c>
      <c r="L19" s="39">
        <v>14.233910384658667</v>
      </c>
      <c r="M19" s="38">
        <v>189.46734148685877</v>
      </c>
      <c r="N19" s="37">
        <v>86.375563199010742</v>
      </c>
      <c r="O19" s="40">
        <v>8265.0419312258127</v>
      </c>
      <c r="P19" s="37">
        <v>12.724233659618166</v>
      </c>
      <c r="Q19" s="38">
        <v>6012.0392904343971</v>
      </c>
      <c r="R19" s="113">
        <v>15.390328721508288</v>
      </c>
    </row>
    <row r="20" spans="1:18" x14ac:dyDescent="0.2">
      <c r="A20" s="133"/>
      <c r="B20" s="119" t="str">
        <f>VLOOKUP("&lt;T2Zeilentitel_3.3&gt;",Uebersetzungen!$B$3:$E$205,Uebersetzungen!$B$2+1,FALSE)</f>
        <v>45-64</v>
      </c>
      <c r="C20" s="40">
        <v>59080.000000000204</v>
      </c>
      <c r="D20" s="37">
        <v>3.8848078343530674</v>
      </c>
      <c r="E20" s="38">
        <v>39538.360700742</v>
      </c>
      <c r="F20" s="39">
        <v>5.0997882266408716</v>
      </c>
      <c r="G20" s="38">
        <v>11551.197586911605</v>
      </c>
      <c r="H20" s="37">
        <v>10.433330675894796</v>
      </c>
      <c r="I20" s="40">
        <v>21392.368461867161</v>
      </c>
      <c r="J20" s="37">
        <v>7.3744596436248191</v>
      </c>
      <c r="K20" s="38">
        <v>6280.9939580676637</v>
      </c>
      <c r="L20" s="39">
        <v>14.172642178158419</v>
      </c>
      <c r="M20" s="38">
        <v>313.80069389549726</v>
      </c>
      <c r="N20" s="37">
        <v>64.521382618650719</v>
      </c>
      <c r="O20" s="40">
        <v>9921.4767020130912</v>
      </c>
      <c r="P20" s="37">
        <v>11.305881418817849</v>
      </c>
      <c r="Q20" s="38">
        <v>9620.162597245182</v>
      </c>
      <c r="R20" s="113">
        <v>11.683031628899837</v>
      </c>
    </row>
    <row r="21" spans="1:18" x14ac:dyDescent="0.2">
      <c r="A21" s="134"/>
      <c r="B21" s="120" t="str">
        <f>VLOOKUP("&lt;T2Zeilentitel_3.4&gt;",Uebersetzungen!$B$3:$E$205,Uebersetzungen!$B$2+1,FALSE)</f>
        <v>65 und mehr</v>
      </c>
      <c r="C21" s="48">
        <v>44152.000000000509</v>
      </c>
      <c r="D21" s="45">
        <v>4.5017942121198438</v>
      </c>
      <c r="E21" s="46">
        <v>2688.2651556284977</v>
      </c>
      <c r="F21" s="47">
        <v>21.074492703697988</v>
      </c>
      <c r="G21" s="46">
        <v>1027.655539713523</v>
      </c>
      <c r="H21" s="45">
        <v>34.080456795460272</v>
      </c>
      <c r="I21" s="74">
        <v>1233.3889126042368</v>
      </c>
      <c r="J21" s="51">
        <v>31.27081005948251</v>
      </c>
      <c r="K21" s="49">
        <v>427.22070331073945</v>
      </c>
      <c r="L21" s="50">
        <v>53.857877748700901</v>
      </c>
      <c r="M21" s="49" t="s">
        <v>284</v>
      </c>
      <c r="N21" s="51" t="s">
        <v>284</v>
      </c>
      <c r="O21" s="74">
        <v>848.76693464808693</v>
      </c>
      <c r="P21" s="51">
        <v>37.922869759004847</v>
      </c>
      <c r="Q21" s="46">
        <v>40614.96790972392</v>
      </c>
      <c r="R21" s="109">
        <v>4.7666166859811421</v>
      </c>
    </row>
    <row r="22" spans="1:18" x14ac:dyDescent="0.2">
      <c r="A22" s="132" t="str">
        <f>VLOOKUP("&lt;T2Zeilentitel_4&gt;",Uebersetzungen!$B$3:$E$205,Uebersetzungen!$B$2+1,FALSE)</f>
        <v>Staatsangehörigkeit</v>
      </c>
      <c r="B22" s="121" t="str">
        <f>VLOOKUP("&lt;T2Zeilentitel_4.1&gt;",Uebersetzungen!$B$3:$E$205,Uebersetzungen!$B$2+1,FALSE)</f>
        <v>Schweiz</v>
      </c>
      <c r="C22" s="40">
        <v>139204.00000000087</v>
      </c>
      <c r="D22" s="37">
        <v>1.2994587979742209</v>
      </c>
      <c r="E22" s="38">
        <v>67167.323786473236</v>
      </c>
      <c r="F22" s="39">
        <v>3.4518186022970911</v>
      </c>
      <c r="G22" s="38">
        <v>18096.56423688199</v>
      </c>
      <c r="H22" s="37">
        <v>8.0529045272750288</v>
      </c>
      <c r="I22" s="40">
        <v>36139.602765132047</v>
      </c>
      <c r="J22" s="37">
        <v>5.3578556983409982</v>
      </c>
      <c r="K22" s="38">
        <v>12398.452536498658</v>
      </c>
      <c r="L22" s="39">
        <v>9.8834553264177138</v>
      </c>
      <c r="M22" s="38">
        <v>532.70424796059933</v>
      </c>
      <c r="N22" s="37">
        <v>50.018437024320747</v>
      </c>
      <c r="O22" s="40">
        <v>15366.13048821146</v>
      </c>
      <c r="P22" s="37">
        <v>8.8674406275714954</v>
      </c>
      <c r="Q22" s="38">
        <v>56670.5457253161</v>
      </c>
      <c r="R22" s="113">
        <v>3.8329901127165877</v>
      </c>
    </row>
    <row r="23" spans="1:18" x14ac:dyDescent="0.2">
      <c r="A23" s="133"/>
      <c r="B23" s="119" t="str">
        <f>VLOOKUP("&lt;T2Zeilentitel_4.2&gt;",Uebersetzungen!$B$3:$E$205,Uebersetzungen!$B$2+1,FALSE)</f>
        <v>EU28 und EFTA</v>
      </c>
      <c r="C23" s="40">
        <v>27064.983765801469</v>
      </c>
      <c r="D23" s="37">
        <v>6.8207002529804255</v>
      </c>
      <c r="E23" s="38">
        <v>16765.968277118649</v>
      </c>
      <c r="F23" s="39">
        <v>8.9195199164042531</v>
      </c>
      <c r="G23" s="38">
        <v>5630.5006215647136</v>
      </c>
      <c r="H23" s="37">
        <v>15.928845750446607</v>
      </c>
      <c r="I23" s="44">
        <v>8228.9118380264263</v>
      </c>
      <c r="J23" s="43">
        <v>13.048329186194119</v>
      </c>
      <c r="K23" s="41">
        <v>2791.201929355389</v>
      </c>
      <c r="L23" s="42">
        <v>22.505937091915651</v>
      </c>
      <c r="M23" s="41" t="s">
        <v>284</v>
      </c>
      <c r="N23" s="43" t="s">
        <v>284</v>
      </c>
      <c r="O23" s="40">
        <v>3876.6468393883488</v>
      </c>
      <c r="P23" s="37">
        <v>19.402997761569541</v>
      </c>
      <c r="Q23" s="41">
        <v>6422.3686492944516</v>
      </c>
      <c r="R23" s="114">
        <v>14.820461570838281</v>
      </c>
    </row>
    <row r="24" spans="1:18" x14ac:dyDescent="0.2">
      <c r="A24" s="133"/>
      <c r="B24" s="119" t="str">
        <f>VLOOKUP("&lt;T2Zeilentitel_4.3&gt;",Uebersetzungen!$B$3:$E$205,Uebersetzungen!$B$2+1,FALSE)</f>
        <v>Andere europäische Staaten</v>
      </c>
      <c r="C24" s="40">
        <v>3125.918260586051</v>
      </c>
      <c r="D24" s="37">
        <v>22.433578658784249</v>
      </c>
      <c r="E24" s="38">
        <v>1577.9357088064553</v>
      </c>
      <c r="F24" s="39">
        <v>31.608932880568645</v>
      </c>
      <c r="G24" s="41">
        <v>664.73312457259021</v>
      </c>
      <c r="H24" s="43">
        <v>50.708607699694177</v>
      </c>
      <c r="I24" s="40">
        <v>676.5409112172988</v>
      </c>
      <c r="J24" s="37">
        <v>47.038131071791511</v>
      </c>
      <c r="K24" s="38">
        <v>236.66167301656617</v>
      </c>
      <c r="L24" s="39">
        <v>79.100053984470122</v>
      </c>
      <c r="M24" s="38" t="s">
        <v>284</v>
      </c>
      <c r="N24" s="37" t="s">
        <v>284</v>
      </c>
      <c r="O24" s="44">
        <v>465.03853698257961</v>
      </c>
      <c r="P24" s="43">
        <v>59.608547433660696</v>
      </c>
      <c r="Q24" s="38">
        <v>1082.9440147970161</v>
      </c>
      <c r="R24" s="113">
        <v>38.143138905470146</v>
      </c>
    </row>
    <row r="25" spans="1:18" x14ac:dyDescent="0.2">
      <c r="A25" s="133"/>
      <c r="B25" s="119" t="str">
        <f>VLOOKUP("&lt;T2Zeilentitel_4.4&gt;",Uebersetzungen!$B$3:$E$205,Uebersetzungen!$B$2+1,FALSE)</f>
        <v>Andere Staaten</v>
      </c>
      <c r="C25" s="40">
        <v>3592.0979736129129</v>
      </c>
      <c r="D25" s="37">
        <v>20.785204303073471</v>
      </c>
      <c r="E25" s="38">
        <v>1858.1261291542974</v>
      </c>
      <c r="F25" s="39">
        <v>28.689784390430447</v>
      </c>
      <c r="G25" s="38">
        <v>482.17600629051009</v>
      </c>
      <c r="H25" s="37">
        <v>56.223071490755785</v>
      </c>
      <c r="I25" s="40">
        <v>599.88600016138093</v>
      </c>
      <c r="J25" s="37">
        <v>50.565501485425166</v>
      </c>
      <c r="K25" s="38">
        <v>776.06412270240639</v>
      </c>
      <c r="L25" s="39">
        <v>44.710980956357126</v>
      </c>
      <c r="M25" s="38" t="s">
        <v>284</v>
      </c>
      <c r="N25" s="37" t="s">
        <v>284</v>
      </c>
      <c r="O25" s="40">
        <v>439.43526778637249</v>
      </c>
      <c r="P25" s="37">
        <v>59.068702704093575</v>
      </c>
      <c r="Q25" s="38">
        <v>1294.536576672243</v>
      </c>
      <c r="R25" s="113">
        <v>35.537934935802291</v>
      </c>
    </row>
    <row r="26" spans="1:18" x14ac:dyDescent="0.2">
      <c r="A26" s="134"/>
      <c r="B26" s="120" t="str">
        <f>VLOOKUP("&lt;T2Zeilentitel_4.5&gt;",Uebersetzungen!$B$3:$E$205,Uebersetzungen!$B$2+1,FALSE)</f>
        <v>Staatsangehörigkeit unbekannt</v>
      </c>
      <c r="C26" s="48" t="s">
        <v>284</v>
      </c>
      <c r="D26" s="45" t="s">
        <v>284</v>
      </c>
      <c r="E26" s="46" t="s">
        <v>284</v>
      </c>
      <c r="F26" s="47" t="s">
        <v>284</v>
      </c>
      <c r="G26" s="46" t="s">
        <v>284</v>
      </c>
      <c r="H26" s="45" t="s">
        <v>284</v>
      </c>
      <c r="I26" s="48" t="s">
        <v>284</v>
      </c>
      <c r="J26" s="45" t="s">
        <v>284</v>
      </c>
      <c r="K26" s="46" t="s">
        <v>284</v>
      </c>
      <c r="L26" s="47" t="s">
        <v>284</v>
      </c>
      <c r="M26" s="46" t="s">
        <v>284</v>
      </c>
      <c r="N26" s="45" t="s">
        <v>284</v>
      </c>
      <c r="O26" s="48" t="s">
        <v>284</v>
      </c>
      <c r="P26" s="45" t="s">
        <v>284</v>
      </c>
      <c r="Q26" s="46" t="s">
        <v>284</v>
      </c>
      <c r="R26" s="109" t="s">
        <v>284</v>
      </c>
    </row>
    <row r="27" spans="1:18" x14ac:dyDescent="0.2">
      <c r="A27" s="132" t="str">
        <f>VLOOKUP("&lt;T2Zeilentitel_5&gt;",Uebersetzungen!$B$3:$E$205,Uebersetzungen!$B$2+1,FALSE)</f>
        <v>Migrationsstatus</v>
      </c>
      <c r="B27" s="121" t="str">
        <f>VLOOKUP("&lt;T2Zeilentitel_5.1&gt;",Uebersetzungen!$B$3:$E$205,Uebersetzungen!$B$2+1,FALSE)</f>
        <v>Schweizer/innen ohne Migrationshintergrund</v>
      </c>
      <c r="C27" s="70">
        <v>122616.61450815987</v>
      </c>
      <c r="D27" s="35">
        <v>1.7145052831186445</v>
      </c>
      <c r="E27" s="69">
        <v>59279.577974029315</v>
      </c>
      <c r="F27" s="36">
        <v>3.8070418265072958</v>
      </c>
      <c r="G27" s="69">
        <v>16087.12568641506</v>
      </c>
      <c r="H27" s="35">
        <v>8.6003231734273307</v>
      </c>
      <c r="I27" s="70">
        <v>32008.723067799005</v>
      </c>
      <c r="J27" s="35">
        <v>5.7729740317166955</v>
      </c>
      <c r="K27" s="69">
        <v>10722.080759978735</v>
      </c>
      <c r="L27" s="36">
        <v>10.677152534509235</v>
      </c>
      <c r="M27" s="69">
        <v>461.64845983661723</v>
      </c>
      <c r="N27" s="35">
        <v>53.765921926490499</v>
      </c>
      <c r="O27" s="70">
        <v>13387.549669249798</v>
      </c>
      <c r="P27" s="35">
        <v>9.5681540275212225</v>
      </c>
      <c r="Q27" s="69">
        <v>49949.486864880651</v>
      </c>
      <c r="R27" s="112">
        <v>4.2038098512769349</v>
      </c>
    </row>
    <row r="28" spans="1:18" x14ac:dyDescent="0.2">
      <c r="A28" s="133"/>
      <c r="B28" s="119" t="str">
        <f>VLOOKUP("&lt;T2Zeilentitel_5.2&gt;",Uebersetzungen!$B$3:$E$205,Uebersetzungen!$B$2+1,FALSE)</f>
        <v>Schweizer/innen mit Migrationshintergrund</v>
      </c>
      <c r="C28" s="40">
        <v>15629.54625056087</v>
      </c>
      <c r="D28" s="37">
        <v>8.679157970955611</v>
      </c>
      <c r="E28" s="38">
        <v>7351.1552846145742</v>
      </c>
      <c r="F28" s="39">
        <v>13.09994949032021</v>
      </c>
      <c r="G28" s="38">
        <v>1827.6315857759412</v>
      </c>
      <c r="H28" s="37">
        <v>26.493250068311216</v>
      </c>
      <c r="I28" s="44">
        <v>3845.4771310980364</v>
      </c>
      <c r="J28" s="43">
        <v>18.375252503528095</v>
      </c>
      <c r="K28" s="41">
        <v>1606.9907796166146</v>
      </c>
      <c r="L28" s="42">
        <v>28.482424603609335</v>
      </c>
      <c r="M28" s="41" t="s">
        <v>284</v>
      </c>
      <c r="N28" s="43" t="s">
        <v>284</v>
      </c>
      <c r="O28" s="40">
        <v>1825.1721133704323</v>
      </c>
      <c r="P28" s="37">
        <v>26.533602231993889</v>
      </c>
      <c r="Q28" s="41">
        <v>6453.2188525758647</v>
      </c>
      <c r="R28" s="114">
        <v>13.761389296028273</v>
      </c>
    </row>
    <row r="29" spans="1:18" x14ac:dyDescent="0.2">
      <c r="A29" s="133"/>
      <c r="B29" s="119" t="str">
        <f>VLOOKUP("&lt;T2Zeilentitel_5.3&gt;",Uebersetzungen!$B$3:$E$205,Uebersetzungen!$B$2+1,FALSE)</f>
        <v>Ausländer/innen der ersten Generation</v>
      </c>
      <c r="C29" s="40">
        <v>31359.402603251587</v>
      </c>
      <c r="D29" s="37">
        <v>6.308787624609784</v>
      </c>
      <c r="E29" s="38">
        <v>18913.872334012281</v>
      </c>
      <c r="F29" s="39">
        <v>8.3945704569739821</v>
      </c>
      <c r="G29" s="38">
        <v>6533.9640574493578</v>
      </c>
      <c r="H29" s="37">
        <v>14.886716402434709</v>
      </c>
      <c r="I29" s="44">
        <v>8866.0027957430593</v>
      </c>
      <c r="J29" s="43">
        <v>12.551237742728013</v>
      </c>
      <c r="K29" s="41">
        <v>3398.5515926477296</v>
      </c>
      <c r="L29" s="42">
        <v>20.613547371121591</v>
      </c>
      <c r="M29" s="41" t="s">
        <v>284</v>
      </c>
      <c r="N29" s="43" t="s">
        <v>284</v>
      </c>
      <c r="O29" s="40">
        <v>4658.5347639577985</v>
      </c>
      <c r="P29" s="37">
        <v>17.784283671429069</v>
      </c>
      <c r="Q29" s="41">
        <v>7786.9955052814958</v>
      </c>
      <c r="R29" s="114">
        <v>13.588782392602001</v>
      </c>
    </row>
    <row r="30" spans="1:18" x14ac:dyDescent="0.2">
      <c r="A30" s="133"/>
      <c r="B30" s="119" t="str">
        <f>VLOOKUP("&lt;T2Zeilentitel_5.4&gt;",Uebersetzungen!$B$3:$E$205,Uebersetzungen!$B$2+1,FALSE)</f>
        <v>Ausländer/innen der zweiten und höheren Generation</v>
      </c>
      <c r="C30" s="40">
        <v>2340.0852101068194</v>
      </c>
      <c r="D30" s="37">
        <v>25.364680650187399</v>
      </c>
      <c r="E30" s="41">
        <v>1288.1577810671354</v>
      </c>
      <c r="F30" s="42">
        <v>34.140314113850565</v>
      </c>
      <c r="G30" s="41">
        <v>243.44569497845561</v>
      </c>
      <c r="H30" s="43">
        <v>79.523049141208617</v>
      </c>
      <c r="I30" s="40">
        <v>639.33595366204656</v>
      </c>
      <c r="J30" s="37">
        <v>49.441371431024265</v>
      </c>
      <c r="K30" s="38">
        <v>405.37613242663309</v>
      </c>
      <c r="L30" s="39">
        <v>58.78744886812548</v>
      </c>
      <c r="M30" s="38" t="s">
        <v>284</v>
      </c>
      <c r="N30" s="37" t="s">
        <v>284</v>
      </c>
      <c r="O30" s="44" t="s">
        <v>284</v>
      </c>
      <c r="P30" s="43" t="s">
        <v>284</v>
      </c>
      <c r="Q30" s="41">
        <v>929.34154884017971</v>
      </c>
      <c r="R30" s="114">
        <v>40.590124443803639</v>
      </c>
    </row>
    <row r="31" spans="1:18" x14ac:dyDescent="0.2">
      <c r="A31" s="134"/>
      <c r="B31" s="120" t="str">
        <f>VLOOKUP("&lt;T2Zeilentitel_5.5&gt;",Uebersetzungen!$B$3:$E$205,Uebersetzungen!$B$2+1,FALSE)</f>
        <v>Migrationshintergrund unbekannt</v>
      </c>
      <c r="C31" s="74">
        <v>1041.351427922137</v>
      </c>
      <c r="D31" s="51">
        <v>35.886950195120704</v>
      </c>
      <c r="E31" s="49">
        <v>536.59052782928234</v>
      </c>
      <c r="F31" s="50">
        <v>49.881908203997163</v>
      </c>
      <c r="G31" s="49">
        <v>181.80696469099092</v>
      </c>
      <c r="H31" s="51">
        <v>86.474375160500955</v>
      </c>
      <c r="I31" s="48">
        <v>285.40256623498607</v>
      </c>
      <c r="J31" s="45">
        <v>68.359633968701459</v>
      </c>
      <c r="K31" s="46" t="s">
        <v>284</v>
      </c>
      <c r="L31" s="47" t="s">
        <v>284</v>
      </c>
      <c r="M31" s="46" t="s">
        <v>284</v>
      </c>
      <c r="N31" s="45" t="s">
        <v>284</v>
      </c>
      <c r="O31" s="48" t="s">
        <v>284</v>
      </c>
      <c r="P31" s="45" t="s">
        <v>284</v>
      </c>
      <c r="Q31" s="46">
        <v>351.35219450161918</v>
      </c>
      <c r="R31" s="109">
        <v>61.394835272745695</v>
      </c>
    </row>
    <row r="32" spans="1:18" x14ac:dyDescent="0.2">
      <c r="A32" s="132" t="str">
        <f>VLOOKUP("&lt;T2Zeilentitel_6&gt;",Uebersetzungen!$B$3:$E$205,Uebersetzungen!$B$2+1,FALSE)</f>
        <v>Arbeitsmarktstatus</v>
      </c>
      <c r="B32" s="121" t="str">
        <f>VLOOKUP("&lt;T2Zeilentitel_6.1&gt;",Uebersetzungen!$B$3:$E$205,Uebersetzungen!$B$2+1,FALSE)</f>
        <v>Vollzeiterwerbstätige (90-100%)</v>
      </c>
      <c r="C32" s="70">
        <v>72810.078500211574</v>
      </c>
      <c r="D32" s="35">
        <v>3.3405328097835496</v>
      </c>
      <c r="E32" s="69">
        <v>59081.518177366619</v>
      </c>
      <c r="F32" s="36">
        <v>3.9280863809025561</v>
      </c>
      <c r="G32" s="69">
        <v>16663.369440463128</v>
      </c>
      <c r="H32" s="35">
        <v>8.6628564938919155</v>
      </c>
      <c r="I32" s="75">
        <v>32090.236501439325</v>
      </c>
      <c r="J32" s="73">
        <v>5.8881596289375686</v>
      </c>
      <c r="K32" s="69">
        <v>9750.9098874555439</v>
      </c>
      <c r="L32" s="36">
        <v>11.422412504222914</v>
      </c>
      <c r="M32" s="71">
        <v>577.00234800876012</v>
      </c>
      <c r="N32" s="73">
        <v>48.439541457106429</v>
      </c>
      <c r="O32" s="75">
        <v>13728.560322844818</v>
      </c>
      <c r="P32" s="73">
        <v>9.670898607296941</v>
      </c>
      <c r="Q32" s="69" t="s">
        <v>284</v>
      </c>
      <c r="R32" s="112" t="s">
        <v>284</v>
      </c>
    </row>
    <row r="33" spans="1:18" x14ac:dyDescent="0.2">
      <c r="A33" s="133"/>
      <c r="B33" s="119" t="str">
        <f>VLOOKUP("&lt;T2Zeilentitel_6.2&gt;",Uebersetzungen!$B$3:$E$205,Uebersetzungen!$B$2+1,FALSE)</f>
        <v>Teilzeiterwerbstätige I (70-89%)</v>
      </c>
      <c r="C33" s="40">
        <v>10696.271861958361</v>
      </c>
      <c r="D33" s="37">
        <v>10.813384426350206</v>
      </c>
      <c r="E33" s="38">
        <v>9303.8881401087092</v>
      </c>
      <c r="F33" s="39">
        <v>11.634596968804676</v>
      </c>
      <c r="G33" s="38">
        <v>2323.4762345051886</v>
      </c>
      <c r="H33" s="37">
        <v>23.69823681810696</v>
      </c>
      <c r="I33" s="44">
        <v>4726.2479153735303</v>
      </c>
      <c r="J33" s="43">
        <v>16.580306082082608</v>
      </c>
      <c r="K33" s="38">
        <v>2254.1639902299994</v>
      </c>
      <c r="L33" s="39">
        <v>24.10847705062929</v>
      </c>
      <c r="M33" s="41" t="s">
        <v>284</v>
      </c>
      <c r="N33" s="43" t="s">
        <v>284</v>
      </c>
      <c r="O33" s="40">
        <v>1392.3837218496424</v>
      </c>
      <c r="P33" s="37">
        <v>30.952428801725574</v>
      </c>
      <c r="Q33" s="38" t="s">
        <v>284</v>
      </c>
      <c r="R33" s="113" t="s">
        <v>284</v>
      </c>
    </row>
    <row r="34" spans="1:18" x14ac:dyDescent="0.2">
      <c r="A34" s="133"/>
      <c r="B34" s="119" t="str">
        <f>VLOOKUP("&lt;T2Zeilentitel_6.3&gt;",Uebersetzungen!$B$3:$E$205,Uebersetzungen!$B$2+1,FALSE)</f>
        <v>Teilzeiterwerbstätige II (50-69%)</v>
      </c>
      <c r="C34" s="40">
        <v>10550.671687475711</v>
      </c>
      <c r="D34" s="37">
        <v>10.892407685711454</v>
      </c>
      <c r="E34" s="38">
        <v>8322.7203689806374</v>
      </c>
      <c r="F34" s="39">
        <v>12.349453994890862</v>
      </c>
      <c r="G34" s="38">
        <v>2604.2575272246286</v>
      </c>
      <c r="H34" s="37">
        <v>22.720131526228084</v>
      </c>
      <c r="I34" s="44">
        <v>3640.9617733801679</v>
      </c>
      <c r="J34" s="43">
        <v>18.794817972534851</v>
      </c>
      <c r="K34" s="38">
        <v>2077.5010683758478</v>
      </c>
      <c r="L34" s="39">
        <v>25.110831518571057</v>
      </c>
      <c r="M34" s="41" t="s">
        <v>284</v>
      </c>
      <c r="N34" s="43" t="s">
        <v>284</v>
      </c>
      <c r="O34" s="40">
        <v>2227.9513184950656</v>
      </c>
      <c r="P34" s="37">
        <v>24.274983512594549</v>
      </c>
      <c r="Q34" s="38" t="s">
        <v>284</v>
      </c>
      <c r="R34" s="113" t="s">
        <v>284</v>
      </c>
    </row>
    <row r="35" spans="1:18" ht="25.5" x14ac:dyDescent="0.2">
      <c r="A35" s="134"/>
      <c r="B35" s="120" t="str">
        <f>VLOOKUP("&lt;T2Zeilentitel_6.4&gt;",Uebersetzungen!$B$3:$E$205,Uebersetzungen!$B$2+1,FALSE)</f>
        <v>Teilzeiterwerbstätige III (weniger als 50%)</v>
      </c>
      <c r="C35" s="48">
        <v>13459.582984275821</v>
      </c>
      <c r="D35" s="45">
        <v>9.505426079977612</v>
      </c>
      <c r="E35" s="46">
        <v>10661.227215096576</v>
      </c>
      <c r="F35" s="47">
        <v>10.775634908115565</v>
      </c>
      <c r="G35" s="46">
        <v>3282.8707871168531</v>
      </c>
      <c r="H35" s="45">
        <v>19.815952513226254</v>
      </c>
      <c r="I35" s="74">
        <v>5187.4953243441205</v>
      </c>
      <c r="J35" s="51">
        <v>15.629782090454391</v>
      </c>
      <c r="K35" s="46">
        <v>2119.8053155116295</v>
      </c>
      <c r="L35" s="47">
        <v>25.143469650619878</v>
      </c>
      <c r="M35" s="49" t="s">
        <v>284</v>
      </c>
      <c r="N35" s="51" t="s">
        <v>284</v>
      </c>
      <c r="O35" s="48">
        <v>2798.3557691792357</v>
      </c>
      <c r="P35" s="45">
        <v>21.512900796932936</v>
      </c>
      <c r="Q35" s="46" t="s">
        <v>284</v>
      </c>
      <c r="R35" s="109" t="s">
        <v>284</v>
      </c>
    </row>
    <row r="36" spans="1:18" ht="25.5" x14ac:dyDescent="0.2">
      <c r="A36" s="116" t="str">
        <f>VLOOKUP("&lt;T2Zeilentitel_7&gt;",Uebersetzungen!$B$3:$E$205,Uebersetzungen!$B$2+1,FALSE)</f>
        <v>Sozioprofessionelle Kategorien</v>
      </c>
      <c r="B36" s="121" t="str">
        <f>VLOOKUP("&lt;T2Zeilentitel_7.1&gt;",Uebersetzungen!$B$3:$E$205,Uebersetzungen!$B$2+1,FALSE)</f>
        <v>Oberstes Management</v>
      </c>
      <c r="C36" s="70">
        <v>2953.3948145954164</v>
      </c>
      <c r="D36" s="35">
        <v>20.757746539864382</v>
      </c>
      <c r="E36" s="69">
        <v>2287.4216390007746</v>
      </c>
      <c r="F36" s="36">
        <v>23.760069116782496</v>
      </c>
      <c r="G36" s="69">
        <v>506.09959694460679</v>
      </c>
      <c r="H36" s="35">
        <v>49.887548850837923</v>
      </c>
      <c r="I36" s="75">
        <v>1288.9402246593829</v>
      </c>
      <c r="J36" s="73">
        <v>31.813776138787219</v>
      </c>
      <c r="K36" s="69">
        <v>492.3818173967851</v>
      </c>
      <c r="L36" s="36">
        <v>52.106075333319517</v>
      </c>
      <c r="M36" s="71" t="s">
        <v>284</v>
      </c>
      <c r="N36" s="73" t="s">
        <v>284</v>
      </c>
      <c r="O36" s="70">
        <v>665.97317559464148</v>
      </c>
      <c r="P36" s="35">
        <v>43.199943338129671</v>
      </c>
      <c r="Q36" s="69" t="s">
        <v>284</v>
      </c>
      <c r="R36" s="112" t="s">
        <v>284</v>
      </c>
    </row>
    <row r="37" spans="1:18" x14ac:dyDescent="0.2">
      <c r="A37" s="117"/>
      <c r="B37" s="119" t="str">
        <f>VLOOKUP("&lt;T2Zeilentitel_7.2&gt;",Uebersetzungen!$B$3:$E$205,Uebersetzungen!$B$2+1,FALSE)</f>
        <v>Freie und gleichgestellte Berufe</v>
      </c>
      <c r="C37" s="40">
        <v>2954.6168063002142</v>
      </c>
      <c r="D37" s="37">
        <v>20.718263642941835</v>
      </c>
      <c r="E37" s="38">
        <v>1500.534082901589</v>
      </c>
      <c r="F37" s="39">
        <v>28.72720112216717</v>
      </c>
      <c r="G37" s="38">
        <v>740.0618542983741</v>
      </c>
      <c r="H37" s="37">
        <v>41.197566320304219</v>
      </c>
      <c r="I37" s="40">
        <v>598.97782102603139</v>
      </c>
      <c r="J37" s="37">
        <v>45.525335573545185</v>
      </c>
      <c r="K37" s="38" t="s">
        <v>284</v>
      </c>
      <c r="L37" s="39" t="s">
        <v>284</v>
      </c>
      <c r="M37" s="38" t="s">
        <v>284</v>
      </c>
      <c r="N37" s="37" t="s">
        <v>284</v>
      </c>
      <c r="O37" s="40">
        <v>1454.0827233986249</v>
      </c>
      <c r="P37" s="37">
        <v>30.151934502422161</v>
      </c>
      <c r="Q37" s="38" t="s">
        <v>284</v>
      </c>
      <c r="R37" s="113" t="s">
        <v>284</v>
      </c>
    </row>
    <row r="38" spans="1:18" x14ac:dyDescent="0.2">
      <c r="A38" s="117"/>
      <c r="B38" s="119" t="str">
        <f>VLOOKUP("&lt;T2Zeilentitel_7.3&gt;",Uebersetzungen!$B$3:$E$205,Uebersetzungen!$B$2+1,FALSE)</f>
        <v>Andere Selbstständige</v>
      </c>
      <c r="C38" s="40">
        <v>12636.193618091329</v>
      </c>
      <c r="D38" s="37">
        <v>9.9706743754828651</v>
      </c>
      <c r="E38" s="38">
        <v>8448.5038278087559</v>
      </c>
      <c r="F38" s="39">
        <v>12.302018395601941</v>
      </c>
      <c r="G38" s="38">
        <v>3852.5458199574</v>
      </c>
      <c r="H38" s="37">
        <v>18.476105505481613</v>
      </c>
      <c r="I38" s="40">
        <v>4073.4909620413423</v>
      </c>
      <c r="J38" s="37">
        <v>17.967407489897532</v>
      </c>
      <c r="K38" s="41">
        <v>452.82137717111988</v>
      </c>
      <c r="L38" s="42">
        <v>53.651863703099089</v>
      </c>
      <c r="M38" s="38" t="s">
        <v>284</v>
      </c>
      <c r="N38" s="37" t="s">
        <v>284</v>
      </c>
      <c r="O38" s="40">
        <v>4187.6897902825704</v>
      </c>
      <c r="P38" s="37">
        <v>17.88478624106871</v>
      </c>
      <c r="Q38" s="38" t="s">
        <v>284</v>
      </c>
      <c r="R38" s="113" t="s">
        <v>284</v>
      </c>
    </row>
    <row r="39" spans="1:18" x14ac:dyDescent="0.2">
      <c r="A39" s="117"/>
      <c r="B39" s="119" t="str">
        <f>VLOOKUP("&lt;T2Zeilentitel_7.4&gt;",Uebersetzungen!$B$3:$E$205,Uebersetzungen!$B$2+1,FALSE)</f>
        <v>Akademische Berufe und oberes Kader</v>
      </c>
      <c r="C39" s="40">
        <v>14768.995519368735</v>
      </c>
      <c r="D39" s="37">
        <v>8.9235268938046026</v>
      </c>
      <c r="E39" s="38">
        <v>12269.583137371126</v>
      </c>
      <c r="F39" s="39">
        <v>9.8802253192902363</v>
      </c>
      <c r="G39" s="38">
        <v>3448.8304011595128</v>
      </c>
      <c r="H39" s="37">
        <v>19.287836344153163</v>
      </c>
      <c r="I39" s="40">
        <v>5816.5923423198674</v>
      </c>
      <c r="J39" s="37">
        <v>14.605628943649339</v>
      </c>
      <c r="K39" s="41">
        <v>2940.2265242580233</v>
      </c>
      <c r="L39" s="42">
        <v>20.710663118127197</v>
      </c>
      <c r="M39" s="38" t="s">
        <v>284</v>
      </c>
      <c r="N39" s="37" t="s">
        <v>284</v>
      </c>
      <c r="O39" s="40">
        <v>2499.4123819975998</v>
      </c>
      <c r="P39" s="37">
        <v>22.417213470574964</v>
      </c>
      <c r="Q39" s="38" t="s">
        <v>284</v>
      </c>
      <c r="R39" s="113" t="s">
        <v>284</v>
      </c>
    </row>
    <row r="40" spans="1:18" x14ac:dyDescent="0.2">
      <c r="A40" s="117"/>
      <c r="B40" s="119" t="str">
        <f>VLOOKUP("&lt;T2Zeilentitel_7.5&gt;",Uebersetzungen!$B$3:$E$205,Uebersetzungen!$B$2+1,FALSE)</f>
        <v>Intermediäre Berufe</v>
      </c>
      <c r="C40" s="40">
        <v>31790.919442611808</v>
      </c>
      <c r="D40" s="37">
        <v>5.8999378246301655</v>
      </c>
      <c r="E40" s="38">
        <v>26754.763328999357</v>
      </c>
      <c r="F40" s="39">
        <v>6.5247740938582588</v>
      </c>
      <c r="G40" s="38">
        <v>6767.9764965160657</v>
      </c>
      <c r="H40" s="37">
        <v>13.849371583957131</v>
      </c>
      <c r="I40" s="40">
        <v>15173.773229518725</v>
      </c>
      <c r="J40" s="37">
        <v>8.9775463545150149</v>
      </c>
      <c r="K40" s="41">
        <v>4628.8974129126382</v>
      </c>
      <c r="L40" s="42">
        <v>16.814319282935838</v>
      </c>
      <c r="M40" s="38">
        <v>184.11619005189388</v>
      </c>
      <c r="N40" s="37">
        <v>86.41797695516243</v>
      </c>
      <c r="O40" s="40">
        <v>5036.1561136124847</v>
      </c>
      <c r="P40" s="37">
        <v>16.318849471549701</v>
      </c>
      <c r="Q40" s="38" t="s">
        <v>284</v>
      </c>
      <c r="R40" s="113" t="s">
        <v>284</v>
      </c>
    </row>
    <row r="41" spans="1:18" x14ac:dyDescent="0.2">
      <c r="A41" s="117"/>
      <c r="B41" s="119" t="str">
        <f>VLOOKUP("&lt;T2Zeilentitel_7.6&gt;",Uebersetzungen!$B$3:$E$205,Uebersetzungen!$B$2+1,FALSE)</f>
        <v>Qualifizierte nichtmanuelle Berufe</v>
      </c>
      <c r="C41" s="40">
        <v>19687.931100661222</v>
      </c>
      <c r="D41" s="37">
        <v>7.8145678044516256</v>
      </c>
      <c r="E41" s="38">
        <v>16832.773182638084</v>
      </c>
      <c r="F41" s="39">
        <v>8.5164152786253329</v>
      </c>
      <c r="G41" s="38">
        <v>4465.3075180484457</v>
      </c>
      <c r="H41" s="37">
        <v>17.278835128008232</v>
      </c>
      <c r="I41" s="40">
        <v>9155.7994110166455</v>
      </c>
      <c r="J41" s="37">
        <v>11.745244538042815</v>
      </c>
      <c r="K41" s="41">
        <v>3065.4791090974568</v>
      </c>
      <c r="L41" s="42">
        <v>20.953330322010277</v>
      </c>
      <c r="M41" s="38" t="s">
        <v>284</v>
      </c>
      <c r="N41" s="37" t="s">
        <v>284</v>
      </c>
      <c r="O41" s="40">
        <v>2855.1579180231433</v>
      </c>
      <c r="P41" s="37">
        <v>21.733569891175659</v>
      </c>
      <c r="Q41" s="38" t="s">
        <v>284</v>
      </c>
      <c r="R41" s="113" t="s">
        <v>284</v>
      </c>
    </row>
    <row r="42" spans="1:18" x14ac:dyDescent="0.2">
      <c r="A42" s="117"/>
      <c r="B42" s="119" t="str">
        <f>VLOOKUP("&lt;T2Zeilentitel_7.7&gt;",Uebersetzungen!$B$3:$E$205,Uebersetzungen!$B$2+1,FALSE)</f>
        <v>Qualifizierte manuelle Berufe</v>
      </c>
      <c r="C42" s="40">
        <v>9484.8792043123321</v>
      </c>
      <c r="D42" s="37">
        <v>11.864977699035631</v>
      </c>
      <c r="E42" s="38">
        <v>7932.3526255172264</v>
      </c>
      <c r="F42" s="39">
        <v>13.007981630123412</v>
      </c>
      <c r="G42" s="38">
        <v>1549.0500888399208</v>
      </c>
      <c r="H42" s="37">
        <v>29.86904176853556</v>
      </c>
      <c r="I42" s="40">
        <v>5215.7868520171623</v>
      </c>
      <c r="J42" s="37">
        <v>16.220802915134801</v>
      </c>
      <c r="K42" s="41">
        <v>1129.2416099845452</v>
      </c>
      <c r="L42" s="42">
        <v>34.718682875667746</v>
      </c>
      <c r="M42" s="38" t="s">
        <v>284</v>
      </c>
      <c r="N42" s="37" t="s">
        <v>284</v>
      </c>
      <c r="O42" s="40">
        <v>1552.5265787951109</v>
      </c>
      <c r="P42" s="37">
        <v>30.246164009414922</v>
      </c>
      <c r="Q42" s="38" t="s">
        <v>284</v>
      </c>
      <c r="R42" s="113" t="s">
        <v>284</v>
      </c>
    </row>
    <row r="43" spans="1:18" x14ac:dyDescent="0.2">
      <c r="A43" s="117"/>
      <c r="B43" s="119" t="str">
        <f>VLOOKUP("&lt;T2Zeilentitel_7.8&gt;",Uebersetzungen!$B$3:$E$205,Uebersetzungen!$B$2+1,FALSE)</f>
        <v>Ungelernte Angestellte und Arbeiter/innen</v>
      </c>
      <c r="C43" s="40">
        <v>7868.3355356968286</v>
      </c>
      <c r="D43" s="37">
        <v>13.346655540716688</v>
      </c>
      <c r="E43" s="38">
        <v>6631.6974514450985</v>
      </c>
      <c r="F43" s="39">
        <v>14.525362800177835</v>
      </c>
      <c r="G43" s="38">
        <v>2244.2788191344789</v>
      </c>
      <c r="H43" s="37">
        <v>25.664828553350837</v>
      </c>
      <c r="I43" s="40">
        <v>3067.6833120233591</v>
      </c>
      <c r="J43" s="37">
        <v>21.541054575077961</v>
      </c>
      <c r="K43" s="38">
        <v>1285.0810951001729</v>
      </c>
      <c r="L43" s="39">
        <v>32.661867697353195</v>
      </c>
      <c r="M43" s="38" t="s">
        <v>284</v>
      </c>
      <c r="N43" s="37" t="s">
        <v>284</v>
      </c>
      <c r="O43" s="40">
        <v>1236.6380842517312</v>
      </c>
      <c r="P43" s="37">
        <v>35.005624682551719</v>
      </c>
      <c r="Q43" s="38" t="s">
        <v>284</v>
      </c>
      <c r="R43" s="113" t="s">
        <v>284</v>
      </c>
    </row>
    <row r="44" spans="1:18" ht="25.5" x14ac:dyDescent="0.2">
      <c r="A44" s="117"/>
      <c r="B44" s="119" t="str">
        <f>VLOOKUP("&lt;T2Zeilentitel_7.9&gt;",Uebersetzungen!$B$3:$E$205,Uebersetzungen!$B$2+1,FALSE)</f>
        <v>Lernende in dualer beruflicher Grundbildung (Lehrlinge)</v>
      </c>
      <c r="C44" s="40">
        <v>3201.5321721395994</v>
      </c>
      <c r="D44" s="37">
        <v>20.317967540486357</v>
      </c>
      <c r="E44" s="38">
        <v>2858.0106886223366</v>
      </c>
      <c r="F44" s="39">
        <v>21.435542156635343</v>
      </c>
      <c r="G44" s="38">
        <v>680.55885445571653</v>
      </c>
      <c r="H44" s="37">
        <v>44.601827292791484</v>
      </c>
      <c r="I44" s="40">
        <v>570.45748885517787</v>
      </c>
      <c r="J44" s="37">
        <v>48.495730528403143</v>
      </c>
      <c r="K44" s="38">
        <v>1529.3186535021346</v>
      </c>
      <c r="L44" s="39">
        <v>29.166459868182226</v>
      </c>
      <c r="M44" s="38" t="s">
        <v>284</v>
      </c>
      <c r="N44" s="37" t="s">
        <v>284</v>
      </c>
      <c r="O44" s="40">
        <v>343.52148351726282</v>
      </c>
      <c r="P44" s="37">
        <v>64.641233769909874</v>
      </c>
      <c r="Q44" s="38" t="s">
        <v>284</v>
      </c>
      <c r="R44" s="113" t="s">
        <v>284</v>
      </c>
    </row>
    <row r="45" spans="1:18" ht="25.5" x14ac:dyDescent="0.2">
      <c r="A45" s="118"/>
      <c r="B45" s="120" t="str">
        <f>VLOOKUP("&lt;T2Zeilentitel_7.10&gt;",Uebersetzungen!$B$3:$E$205,Uebersetzungen!$B$2+1,FALSE)</f>
        <v>Nicht zuteilbare Erwerbstätige (fehlende oder unklare Basisdaten)</v>
      </c>
      <c r="C45" s="48">
        <v>2169.8068201438928</v>
      </c>
      <c r="D45" s="45">
        <v>25.542148859673866</v>
      </c>
      <c r="E45" s="46">
        <v>1853.71393724831</v>
      </c>
      <c r="F45" s="47">
        <v>27.845677544527671</v>
      </c>
      <c r="G45" s="46">
        <v>619.26453995528539</v>
      </c>
      <c r="H45" s="45">
        <v>49.460459411033838</v>
      </c>
      <c r="I45" s="48">
        <v>683.43987105936731</v>
      </c>
      <c r="J45" s="45">
        <v>44.426400626381657</v>
      </c>
      <c r="K45" s="49">
        <v>551.0095262336572</v>
      </c>
      <c r="L45" s="50">
        <v>52.023679187040351</v>
      </c>
      <c r="M45" s="46" t="s">
        <v>284</v>
      </c>
      <c r="N45" s="45" t="s">
        <v>284</v>
      </c>
      <c r="O45" s="74">
        <v>316.0928828955831</v>
      </c>
      <c r="P45" s="51">
        <v>64.528890677030589</v>
      </c>
      <c r="Q45" s="46" t="s">
        <v>284</v>
      </c>
      <c r="R45" s="109" t="s">
        <v>284</v>
      </c>
    </row>
    <row r="46" spans="1:18" x14ac:dyDescent="0.2">
      <c r="A46" s="133" t="str">
        <f>VLOOKUP("&lt;T2Zeilentitel_8&gt;",Uebersetzungen!$B$3:$E$205,Uebersetzungen!$B$2+1,FALSE)</f>
        <v>Höchste abgeschlossene Ausbildung</v>
      </c>
      <c r="B46" s="119" t="str">
        <f>VLOOKUP("&lt;T2Zeilentitel_8.1&gt;",Uebersetzungen!$B$3:$E$205,Uebersetzungen!$B$2+1,FALSE)</f>
        <v>Ohne nachobligatorische Ausbildung</v>
      </c>
      <c r="C46" s="40">
        <v>35257.105825795763</v>
      </c>
      <c r="D46" s="37">
        <v>5.5602700259148854</v>
      </c>
      <c r="E46" s="38">
        <v>12428.390982605111</v>
      </c>
      <c r="F46" s="39">
        <v>10.284638761164304</v>
      </c>
      <c r="G46" s="38">
        <v>4062.3402572722571</v>
      </c>
      <c r="H46" s="37">
        <v>18.640470806653553</v>
      </c>
      <c r="I46" s="44">
        <v>5127.5895430094652</v>
      </c>
      <c r="J46" s="43">
        <v>16.371345672949495</v>
      </c>
      <c r="K46" s="41">
        <v>3170.8052626507174</v>
      </c>
      <c r="L46" s="42">
        <v>20.545985416144131</v>
      </c>
      <c r="M46" s="41" t="s">
        <v>284</v>
      </c>
      <c r="N46" s="43" t="s">
        <v>284</v>
      </c>
      <c r="O46" s="40">
        <v>2802.5349619478648</v>
      </c>
      <c r="P46" s="37">
        <v>22.78910252114202</v>
      </c>
      <c r="Q46" s="38">
        <v>20026.179881242802</v>
      </c>
      <c r="R46" s="113">
        <v>7.6024888946077276</v>
      </c>
    </row>
    <row r="47" spans="1:18" x14ac:dyDescent="0.2">
      <c r="A47" s="133"/>
      <c r="B47" s="119" t="str">
        <f>VLOOKUP("&lt;T2Zeilentitel_8.2&gt;",Uebersetzungen!$B$3:$E$205,Uebersetzungen!$B$2+1,FALSE)</f>
        <v>Sekundarstufe II</v>
      </c>
      <c r="C47" s="40">
        <v>79770.079363931465</v>
      </c>
      <c r="D47" s="37">
        <v>3.0314707120835416</v>
      </c>
      <c r="E47" s="38">
        <v>40846.824382369552</v>
      </c>
      <c r="F47" s="39">
        <v>5.0784014141015632</v>
      </c>
      <c r="G47" s="38">
        <v>10830.944274974167</v>
      </c>
      <c r="H47" s="37">
        <v>10.895217293732394</v>
      </c>
      <c r="I47" s="40">
        <v>23187.057289532815</v>
      </c>
      <c r="J47" s="37">
        <v>7.1344342494312336</v>
      </c>
      <c r="K47" s="38">
        <v>6420.2985322698278</v>
      </c>
      <c r="L47" s="39">
        <v>14.408239627197549</v>
      </c>
      <c r="M47" s="38">
        <v>408.52428559274034</v>
      </c>
      <c r="N47" s="37">
        <v>58.428479031081928</v>
      </c>
      <c r="O47" s="40">
        <v>8155.4607597520944</v>
      </c>
      <c r="P47" s="37">
        <v>12.744636409864752</v>
      </c>
      <c r="Q47" s="41">
        <v>30767.794221809825</v>
      </c>
      <c r="R47" s="114">
        <v>5.8705438067270101</v>
      </c>
    </row>
    <row r="48" spans="1:18" ht="13.5" thickBot="1" x14ac:dyDescent="0.25">
      <c r="A48" s="135"/>
      <c r="B48" s="122" t="str">
        <f>VLOOKUP("&lt;T2Zeilentitel_8.3&gt;",Uebersetzungen!$B$3:$E$205,Uebersetzungen!$B$2+1,FALSE)</f>
        <v>Tertiärstufe</v>
      </c>
      <c r="C48" s="65">
        <v>57959.814810273936</v>
      </c>
      <c r="D48" s="62">
        <v>3.8600787798579317</v>
      </c>
      <c r="E48" s="63">
        <v>34094.138536578052</v>
      </c>
      <c r="F48" s="64">
        <v>5.5541820544515392</v>
      </c>
      <c r="G48" s="63">
        <v>9980.6894570633667</v>
      </c>
      <c r="H48" s="62">
        <v>11.181196722608755</v>
      </c>
      <c r="I48" s="65">
        <v>17330.294681994805</v>
      </c>
      <c r="J48" s="62">
        <v>8.2457118033535988</v>
      </c>
      <c r="K48" s="66">
        <v>6611.2764666524699</v>
      </c>
      <c r="L48" s="67">
        <v>13.71840562938206</v>
      </c>
      <c r="M48" s="63">
        <v>171.87793086734283</v>
      </c>
      <c r="N48" s="62">
        <v>86.569931287844398</v>
      </c>
      <c r="O48" s="65">
        <v>9189.2554106687949</v>
      </c>
      <c r="P48" s="62">
        <v>11.664353636917598</v>
      </c>
      <c r="Q48" s="63">
        <v>14676.420863027161</v>
      </c>
      <c r="R48" s="115">
        <v>8.916471438138954</v>
      </c>
    </row>
    <row r="49" spans="1:18" x14ac:dyDescent="0.2">
      <c r="A49" s="32"/>
      <c r="B49" s="34"/>
      <c r="C49" s="34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x14ac:dyDescent="0.2">
      <c r="A50" s="15" t="str">
        <f>VLOOKUP("&lt;Legende_1&gt;",Uebersetzungen!$B$3:$E$205,Uebersetzungen!$B$2+1,FALSE)</f>
        <v>(): Extrapolation aufgrund von 49 oder weniger Beobachtungen. Die Resultate sind mit grosser Vorsicht zu interpretieren.</v>
      </c>
      <c r="B50" s="15"/>
      <c r="C50" s="34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x14ac:dyDescent="0.2">
      <c r="A51" s="15" t="str">
        <f>VLOOKUP("&lt;Legende_2&gt;",Uebersetzungen!$B$3:$E$205,Uebersetzungen!$B$2+1,FALSE)</f>
        <v>X: Extrapolation aufgrund von 4 oder weniger Beobachtungen. Die Resultate werden aus Gründen des Datenschutzes nicht publiziert.</v>
      </c>
      <c r="B51" s="15"/>
      <c r="C51" s="34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x14ac:dyDescent="0.2">
      <c r="A52" s="15" t="str">
        <f>VLOOKUP("&lt;Legende_3&gt;",Uebersetzungen!$B$3:$E$205,Uebersetzungen!$B$2+1,FALSE)</f>
        <v>Langsamverkehr: zu Fuss, Velo, elektrisches Velo</v>
      </c>
      <c r="B52" s="15"/>
      <c r="C52" s="34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x14ac:dyDescent="0.2">
      <c r="A53" s="15" t="str">
        <f>VLOOKUP("&lt;Legende_4&gt;",Uebersetzungen!$B$3:$E$205,Uebersetzungen!$B$2+1,FALSE)</f>
        <v>Motorisierter Individualverkehr: Auto, Motorrad, Werkbus</v>
      </c>
      <c r="B53" s="15"/>
      <c r="C53" s="34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x14ac:dyDescent="0.2">
      <c r="A54" s="15" t="str">
        <f>VLOOKUP("&lt;Legende_5&gt;",Uebersetzungen!$B$3:$E$205,Uebersetzungen!$B$2+1,FALSE)</f>
        <v>Öffentlicher Verkehr: Eisenbahn, Tram, Metro, Autobus</v>
      </c>
      <c r="B54" s="15"/>
      <c r="C54" s="34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x14ac:dyDescent="0.2">
      <c r="A55" s="15" t="str">
        <f>VLOOKUP("&lt;Legende_6&gt;",Uebersetzungen!$B$3:$E$205,Uebersetzungen!$B$2+1,FALSE)</f>
        <v>Andere Verkehrsmittel: Schiff, Seilbahn, Trottinett</v>
      </c>
      <c r="B55" s="15"/>
      <c r="C55" s="34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x14ac:dyDescent="0.2">
      <c r="A56" s="15" t="str">
        <f>VLOOKUP("&lt;Legende_7&gt;",Uebersetzungen!$B$3:$E$205,Uebersetzungen!$B$2+1,FALSE)</f>
        <v>Die Grundgesamtheit der Strukturerhebung enthält alle Personen der ständigen Wohnbevölkerung ab vollendetem 15. Altersjahr, die in Privathaushalten leben.</v>
      </c>
      <c r="B56" s="15"/>
      <c r="C56" s="3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x14ac:dyDescent="0.2">
      <c r="A57" s="15" t="str">
        <f>VLOOKUP("&lt;Legende_8&gt;",Uebersetzungen!$B$3:$E$205,Uebersetzungen!$B$2+1,FALSE)</f>
        <v>Aus der Grundgesamtheit ausgeschlossen wurden neben den Personen, die in Kollektivhaushalten leben, auch Diplomaten, internationale Funktionäre und deren Angehörige.</v>
      </c>
      <c r="B57" s="15"/>
      <c r="C57" s="3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x14ac:dyDescent="0.2">
      <c r="A58" s="1"/>
      <c r="B58" s="15"/>
      <c r="C58" s="3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x14ac:dyDescent="0.2">
      <c r="A59" s="1" t="str">
        <f>VLOOKUP("&lt;quelle_1&gt;",Uebersetzungen!$B$3:$E$205,Uebersetzungen!$B$2+1,FALSE)</f>
        <v>Quelle: BFS (Strukturerhebung)</v>
      </c>
      <c r="B59" s="15"/>
      <c r="C59" s="3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x14ac:dyDescent="0.2">
      <c r="A60" s="1" t="str">
        <f>VLOOKUP("&lt;aktualisierung&gt;",Uebersetzungen!$B$3:$E$205,Uebersetzungen!$B$2+1,FALSE)</f>
        <v>Letztmals aktualisiert am: 26.01.2024</v>
      </c>
      <c r="B60" s="15"/>
      <c r="C60" s="34"/>
    </row>
    <row r="61" spans="1:18" x14ac:dyDescent="0.2">
      <c r="A61" s="26"/>
      <c r="B61" s="15"/>
      <c r="C61" s="34"/>
    </row>
    <row r="62" spans="1:18" x14ac:dyDescent="0.2">
      <c r="A62" s="26"/>
      <c r="B62" s="34"/>
      <c r="C62" s="34"/>
    </row>
    <row r="63" spans="1:18" x14ac:dyDescent="0.2">
      <c r="A63" s="26"/>
    </row>
  </sheetData>
  <sheetProtection sheet="1" objects="1" scenarios="1"/>
  <mergeCells count="17">
    <mergeCell ref="A7:B7"/>
    <mergeCell ref="C12:R12"/>
    <mergeCell ref="C13:D13"/>
    <mergeCell ref="A15:B15"/>
    <mergeCell ref="A16:A17"/>
    <mergeCell ref="K13:L13"/>
    <mergeCell ref="M13:N13"/>
    <mergeCell ref="O13:P13"/>
    <mergeCell ref="Q13:R13"/>
    <mergeCell ref="E13:F13"/>
    <mergeCell ref="G13:H13"/>
    <mergeCell ref="I13:J13"/>
    <mergeCell ref="A18:A21"/>
    <mergeCell ref="A22:A26"/>
    <mergeCell ref="A27:A31"/>
    <mergeCell ref="A46:A48"/>
    <mergeCell ref="A32:A35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3" name="Option Button 7">
              <controlPr defaultSize="0" autoFill="0" autoLine="0" autoPict="0">
                <anchor moveWithCells="1">
                  <from>
                    <xdr:col>2</xdr:col>
                    <xdr:colOff>200025</xdr:colOff>
                    <xdr:row>1</xdr:row>
                    <xdr:rowOff>104775</xdr:rowOff>
                  </from>
                  <to>
                    <xdr:col>3</xdr:col>
                    <xdr:colOff>657225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4" name="Option Button 8">
              <controlPr defaultSize="0" autoFill="0" autoLine="0" autoPict="0">
                <anchor moveWithCells="1">
                  <from>
                    <xdr:col>2</xdr:col>
                    <xdr:colOff>200025</xdr:colOff>
                    <xdr:row>2</xdr:row>
                    <xdr:rowOff>95250</xdr:rowOff>
                  </from>
                  <to>
                    <xdr:col>4</xdr:col>
                    <xdr:colOff>285750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Option Button 9">
              <controlPr defaultSize="0" autoFill="0" autoLine="0" autoPict="0">
                <anchor moveWithCells="1">
                  <from>
                    <xdr:col>2</xdr:col>
                    <xdr:colOff>200025</xdr:colOff>
                    <xdr:row>3</xdr:row>
                    <xdr:rowOff>57150</xdr:rowOff>
                  </from>
                  <to>
                    <xdr:col>3</xdr:col>
                    <xdr:colOff>657225</xdr:colOff>
                    <xdr:row>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workbookViewId="0"/>
  </sheetViews>
  <sheetFormatPr baseColWidth="10" defaultColWidth="12.5703125" defaultRowHeight="12.75" x14ac:dyDescent="0.2"/>
  <cols>
    <col min="1" max="1" width="9.85546875" style="82" customWidth="1"/>
    <col min="2" max="2" width="30" style="82" customWidth="1"/>
    <col min="3" max="5" width="66" style="82" customWidth="1"/>
    <col min="6" max="6" width="22.42578125" style="82" customWidth="1"/>
    <col min="7" max="8" width="12.5703125" style="82"/>
    <col min="9" max="9" width="37.7109375" style="82" customWidth="1"/>
    <col min="10" max="16384" width="12.5703125" style="82"/>
  </cols>
  <sheetData>
    <row r="1" spans="1:6" x14ac:dyDescent="0.2">
      <c r="A1" s="80" t="s">
        <v>1</v>
      </c>
      <c r="B1" s="80" t="s">
        <v>2</v>
      </c>
      <c r="C1" s="80" t="s">
        <v>3</v>
      </c>
      <c r="D1" s="80" t="s">
        <v>4</v>
      </c>
      <c r="E1" s="80" t="s">
        <v>5</v>
      </c>
      <c r="F1" s="83"/>
    </row>
    <row r="2" spans="1:6" x14ac:dyDescent="0.2">
      <c r="A2" s="108" t="s">
        <v>6</v>
      </c>
      <c r="B2" s="81">
        <v>1</v>
      </c>
      <c r="C2" s="81"/>
      <c r="D2" s="81"/>
      <c r="E2" s="81"/>
      <c r="F2" s="83"/>
    </row>
    <row r="3" spans="1:6" x14ac:dyDescent="0.2">
      <c r="A3" s="108"/>
      <c r="B3" s="82" t="s">
        <v>7</v>
      </c>
      <c r="C3" s="82" t="s">
        <v>8</v>
      </c>
      <c r="D3" s="82" t="s">
        <v>9</v>
      </c>
      <c r="E3" s="82" t="s">
        <v>10</v>
      </c>
      <c r="F3" s="83"/>
    </row>
    <row r="4" spans="1:6" ht="25.5" x14ac:dyDescent="0.2">
      <c r="A4" s="108" t="s">
        <v>11</v>
      </c>
      <c r="B4" s="82" t="s">
        <v>12</v>
      </c>
      <c r="C4" s="82" t="s">
        <v>299</v>
      </c>
      <c r="D4" s="82" t="s">
        <v>309</v>
      </c>
      <c r="E4" s="82" t="s">
        <v>298</v>
      </c>
      <c r="F4" s="83"/>
    </row>
    <row r="5" spans="1:6" x14ac:dyDescent="0.2">
      <c r="A5" s="108"/>
      <c r="B5" s="82" t="s">
        <v>13</v>
      </c>
      <c r="C5" s="82" t="s">
        <v>14</v>
      </c>
      <c r="D5" s="82" t="s">
        <v>15</v>
      </c>
      <c r="E5" s="82" t="s">
        <v>16</v>
      </c>
      <c r="F5" s="83"/>
    </row>
    <row r="6" spans="1:6" x14ac:dyDescent="0.2">
      <c r="A6" s="108" t="s">
        <v>11</v>
      </c>
      <c r="B6" s="82" t="s">
        <v>17</v>
      </c>
      <c r="C6" s="82" t="s">
        <v>18</v>
      </c>
      <c r="D6" s="82" t="s">
        <v>18</v>
      </c>
      <c r="E6" s="82" t="s">
        <v>19</v>
      </c>
      <c r="F6" s="83"/>
    </row>
    <row r="7" spans="1:6" x14ac:dyDescent="0.2">
      <c r="A7" s="108"/>
      <c r="B7" s="82" t="s">
        <v>20</v>
      </c>
      <c r="C7" s="82" t="s">
        <v>285</v>
      </c>
      <c r="D7" s="82" t="s">
        <v>310</v>
      </c>
      <c r="E7" s="82" t="s">
        <v>300</v>
      </c>
      <c r="F7" s="83"/>
    </row>
    <row r="8" spans="1:6" x14ac:dyDescent="0.2">
      <c r="A8" s="108"/>
      <c r="B8" s="82" t="s">
        <v>21</v>
      </c>
      <c r="C8" s="82" t="s">
        <v>286</v>
      </c>
      <c r="D8" s="82" t="s">
        <v>313</v>
      </c>
      <c r="E8" s="82" t="s">
        <v>301</v>
      </c>
      <c r="F8" s="83"/>
    </row>
    <row r="9" spans="1:6" x14ac:dyDescent="0.2">
      <c r="A9" s="108"/>
      <c r="B9" s="82" t="s">
        <v>22</v>
      </c>
      <c r="C9" s="82" t="s">
        <v>287</v>
      </c>
      <c r="D9" s="82" t="s">
        <v>311</v>
      </c>
      <c r="E9" s="82" t="s">
        <v>302</v>
      </c>
      <c r="F9" s="83"/>
    </row>
    <row r="10" spans="1:6" x14ac:dyDescent="0.2">
      <c r="A10" s="108"/>
      <c r="B10" s="82" t="s">
        <v>23</v>
      </c>
      <c r="C10" s="82" t="s">
        <v>288</v>
      </c>
      <c r="D10" s="82" t="s">
        <v>314</v>
      </c>
      <c r="E10" s="82" t="s">
        <v>303</v>
      </c>
      <c r="F10" s="83"/>
    </row>
    <row r="11" spans="1:6" x14ac:dyDescent="0.2">
      <c r="A11" s="108"/>
      <c r="B11" s="82" t="s">
        <v>24</v>
      </c>
      <c r="C11" s="82" t="s">
        <v>289</v>
      </c>
      <c r="D11" s="82" t="s">
        <v>312</v>
      </c>
      <c r="E11" s="82" t="s">
        <v>304</v>
      </c>
      <c r="F11" s="83"/>
    </row>
    <row r="12" spans="1:6" x14ac:dyDescent="0.2">
      <c r="A12" s="108"/>
      <c r="B12" s="82" t="s">
        <v>25</v>
      </c>
      <c r="C12" s="82" t="s">
        <v>290</v>
      </c>
      <c r="D12" s="82" t="s">
        <v>315</v>
      </c>
      <c r="E12" s="82" t="s">
        <v>305</v>
      </c>
      <c r="F12" s="83"/>
    </row>
    <row r="13" spans="1:6" x14ac:dyDescent="0.2">
      <c r="A13" s="108"/>
      <c r="B13" s="82" t="s">
        <v>26</v>
      </c>
      <c r="C13" s="82" t="s">
        <v>239</v>
      </c>
      <c r="D13" s="82" t="s">
        <v>240</v>
      </c>
      <c r="E13" s="82" t="s">
        <v>277</v>
      </c>
      <c r="F13" s="83"/>
    </row>
    <row r="14" spans="1:6" x14ac:dyDescent="0.2">
      <c r="A14" s="108"/>
      <c r="B14" s="83"/>
      <c r="C14" s="83"/>
      <c r="D14" s="83"/>
      <c r="E14" s="83"/>
      <c r="F14" s="83"/>
    </row>
    <row r="15" spans="1:6" x14ac:dyDescent="0.2">
      <c r="A15" s="108"/>
      <c r="B15" s="82" t="s">
        <v>27</v>
      </c>
      <c r="C15" s="82" t="s">
        <v>0</v>
      </c>
      <c r="D15" s="82" t="s">
        <v>28</v>
      </c>
      <c r="E15" s="82" t="s">
        <v>29</v>
      </c>
      <c r="F15" s="83"/>
    </row>
    <row r="16" spans="1:6" x14ac:dyDescent="0.2">
      <c r="A16" s="108"/>
      <c r="B16" s="82" t="s">
        <v>30</v>
      </c>
      <c r="C16" s="82" t="s">
        <v>31</v>
      </c>
      <c r="D16" s="82" t="s">
        <v>32</v>
      </c>
      <c r="E16" s="82" t="s">
        <v>33</v>
      </c>
      <c r="F16" s="83"/>
    </row>
    <row r="17" spans="1:6" x14ac:dyDescent="0.2">
      <c r="A17" s="108"/>
      <c r="B17" s="83"/>
      <c r="C17" s="83"/>
      <c r="D17" s="83"/>
      <c r="E17" s="83"/>
      <c r="F17" s="83"/>
    </row>
    <row r="18" spans="1:6" x14ac:dyDescent="0.2">
      <c r="A18" s="108" t="s">
        <v>34</v>
      </c>
      <c r="B18" s="82" t="s">
        <v>35</v>
      </c>
      <c r="C18" s="82" t="s">
        <v>18</v>
      </c>
      <c r="D18" s="82" t="s">
        <v>18</v>
      </c>
      <c r="E18" s="82" t="s">
        <v>19</v>
      </c>
      <c r="F18" s="83"/>
    </row>
    <row r="19" spans="1:6" x14ac:dyDescent="0.2">
      <c r="A19" s="83"/>
      <c r="B19" s="82" t="s">
        <v>36</v>
      </c>
      <c r="C19" s="82" t="s">
        <v>37</v>
      </c>
      <c r="D19" s="82" t="s">
        <v>38</v>
      </c>
      <c r="E19" s="82" t="s">
        <v>39</v>
      </c>
      <c r="F19" s="83"/>
    </row>
    <row r="20" spans="1:6" x14ac:dyDescent="0.2">
      <c r="A20" s="108"/>
      <c r="B20" s="83"/>
      <c r="C20" s="83"/>
      <c r="D20" s="83"/>
      <c r="E20" s="83"/>
      <c r="F20" s="83"/>
    </row>
    <row r="21" spans="1:6" x14ac:dyDescent="0.2">
      <c r="A21" s="83"/>
      <c r="B21" s="82" t="s">
        <v>40</v>
      </c>
      <c r="C21" s="82" t="s">
        <v>41</v>
      </c>
      <c r="D21" s="82" t="s">
        <v>42</v>
      </c>
      <c r="E21" s="82" t="s">
        <v>43</v>
      </c>
      <c r="F21" s="83"/>
    </row>
    <row r="22" spans="1:6" x14ac:dyDescent="0.2">
      <c r="A22" s="83"/>
      <c r="B22" s="82" t="s">
        <v>44</v>
      </c>
      <c r="C22" s="82" t="s">
        <v>45</v>
      </c>
      <c r="D22" s="82" t="s">
        <v>46</v>
      </c>
      <c r="E22" s="82" t="s">
        <v>46</v>
      </c>
      <c r="F22" s="83"/>
    </row>
    <row r="23" spans="1:6" x14ac:dyDescent="0.2">
      <c r="A23" s="83"/>
      <c r="B23" s="82" t="s">
        <v>47</v>
      </c>
      <c r="C23" s="82" t="s">
        <v>48</v>
      </c>
      <c r="D23" s="82" t="s">
        <v>49</v>
      </c>
      <c r="E23" s="82" t="s">
        <v>49</v>
      </c>
      <c r="F23" s="83"/>
    </row>
    <row r="24" spans="1:6" x14ac:dyDescent="0.2">
      <c r="A24" s="83"/>
      <c r="B24" s="82" t="s">
        <v>50</v>
      </c>
      <c r="C24" s="82" t="s">
        <v>51</v>
      </c>
      <c r="D24" s="82" t="s">
        <v>51</v>
      </c>
      <c r="E24" s="82" t="s">
        <v>51</v>
      </c>
      <c r="F24" s="83"/>
    </row>
    <row r="25" spans="1:6" x14ac:dyDescent="0.2">
      <c r="A25" s="83"/>
      <c r="B25" s="82" t="s">
        <v>52</v>
      </c>
      <c r="C25" s="82" t="s">
        <v>53</v>
      </c>
      <c r="D25" s="82" t="s">
        <v>54</v>
      </c>
      <c r="E25" s="82" t="s">
        <v>55</v>
      </c>
      <c r="F25" s="83"/>
    </row>
    <row r="26" spans="1:6" x14ac:dyDescent="0.2">
      <c r="A26" s="83"/>
      <c r="B26" s="82" t="s">
        <v>56</v>
      </c>
      <c r="C26" s="82" t="s">
        <v>57</v>
      </c>
      <c r="D26" s="82" t="s">
        <v>58</v>
      </c>
      <c r="E26" s="82" t="s">
        <v>59</v>
      </c>
      <c r="F26" s="83"/>
    </row>
    <row r="27" spans="1:6" x14ac:dyDescent="0.2">
      <c r="A27" s="83"/>
      <c r="B27" s="82" t="s">
        <v>60</v>
      </c>
      <c r="C27" s="82" t="s">
        <v>61</v>
      </c>
      <c r="D27" s="82" t="s">
        <v>62</v>
      </c>
      <c r="E27" s="82" t="s">
        <v>63</v>
      </c>
      <c r="F27" s="83"/>
    </row>
    <row r="28" spans="1:6" x14ac:dyDescent="0.2">
      <c r="A28" s="83"/>
      <c r="B28" s="82" t="s">
        <v>64</v>
      </c>
      <c r="C28" s="82" t="s">
        <v>65</v>
      </c>
      <c r="D28" s="82" t="s">
        <v>66</v>
      </c>
      <c r="E28" s="82" t="s">
        <v>67</v>
      </c>
      <c r="F28" s="83"/>
    </row>
    <row r="29" spans="1:6" x14ac:dyDescent="0.2">
      <c r="A29" s="83"/>
      <c r="B29" s="82" t="s">
        <v>68</v>
      </c>
      <c r="C29" s="82" t="s">
        <v>69</v>
      </c>
      <c r="D29" s="82" t="s">
        <v>69</v>
      </c>
      <c r="E29" s="82" t="s">
        <v>70</v>
      </c>
      <c r="F29" s="83"/>
    </row>
    <row r="30" spans="1:6" x14ac:dyDescent="0.2">
      <c r="A30" s="83"/>
      <c r="B30" s="82" t="s">
        <v>71</v>
      </c>
      <c r="C30" s="82" t="s">
        <v>72</v>
      </c>
      <c r="D30" s="82" t="s">
        <v>73</v>
      </c>
      <c r="E30" s="82" t="s">
        <v>74</v>
      </c>
      <c r="F30" s="83"/>
    </row>
    <row r="31" spans="1:6" x14ac:dyDescent="0.2">
      <c r="A31" s="83"/>
      <c r="B31" s="82" t="s">
        <v>75</v>
      </c>
      <c r="C31" s="82" t="s">
        <v>76</v>
      </c>
      <c r="D31" s="82" t="s">
        <v>77</v>
      </c>
      <c r="E31" s="82" t="s">
        <v>78</v>
      </c>
      <c r="F31" s="83"/>
    </row>
    <row r="32" spans="1:6" x14ac:dyDescent="0.2">
      <c r="A32" s="83"/>
      <c r="B32" s="82" t="s">
        <v>79</v>
      </c>
      <c r="C32" s="82" t="s">
        <v>80</v>
      </c>
      <c r="D32" s="82" t="s">
        <v>81</v>
      </c>
      <c r="E32" s="82" t="s">
        <v>82</v>
      </c>
      <c r="F32" s="83"/>
    </row>
    <row r="33" spans="1:6" x14ac:dyDescent="0.2">
      <c r="A33" s="83"/>
      <c r="B33" s="82" t="s">
        <v>83</v>
      </c>
      <c r="C33" s="82" t="s">
        <v>84</v>
      </c>
      <c r="D33" s="82" t="s">
        <v>85</v>
      </c>
      <c r="E33" s="82" t="s">
        <v>86</v>
      </c>
      <c r="F33" s="83"/>
    </row>
    <row r="34" spans="1:6" x14ac:dyDescent="0.2">
      <c r="A34" s="83"/>
      <c r="B34" s="82" t="s">
        <v>87</v>
      </c>
      <c r="C34" s="82" t="s">
        <v>88</v>
      </c>
      <c r="D34" s="82" t="s">
        <v>89</v>
      </c>
      <c r="E34" s="82" t="s">
        <v>90</v>
      </c>
      <c r="F34" s="83"/>
    </row>
    <row r="35" spans="1:6" x14ac:dyDescent="0.2">
      <c r="A35" s="83"/>
      <c r="B35" s="82" t="s">
        <v>91</v>
      </c>
      <c r="C35" s="82" t="s">
        <v>92</v>
      </c>
      <c r="D35" s="82" t="s">
        <v>93</v>
      </c>
      <c r="E35" s="82" t="s">
        <v>94</v>
      </c>
      <c r="F35" s="83"/>
    </row>
    <row r="36" spans="1:6" x14ac:dyDescent="0.2">
      <c r="A36" s="83"/>
      <c r="B36" s="82" t="s">
        <v>95</v>
      </c>
      <c r="C36" s="82" t="s">
        <v>96</v>
      </c>
      <c r="D36" s="82" t="s">
        <v>97</v>
      </c>
      <c r="E36" s="82" t="s">
        <v>98</v>
      </c>
      <c r="F36" s="83"/>
    </row>
    <row r="37" spans="1:6" x14ac:dyDescent="0.2">
      <c r="A37" s="83"/>
      <c r="B37" s="82" t="s">
        <v>99</v>
      </c>
      <c r="C37" s="82" t="s">
        <v>100</v>
      </c>
      <c r="D37" s="82" t="s">
        <v>101</v>
      </c>
      <c r="E37" s="82" t="s">
        <v>102</v>
      </c>
      <c r="F37" s="83"/>
    </row>
    <row r="38" spans="1:6" x14ac:dyDescent="0.2">
      <c r="A38" s="83"/>
      <c r="B38" s="82" t="s">
        <v>103</v>
      </c>
      <c r="C38" s="82" t="s">
        <v>104</v>
      </c>
      <c r="D38" s="82" t="s">
        <v>105</v>
      </c>
      <c r="E38" s="82" t="s">
        <v>106</v>
      </c>
      <c r="F38" s="83"/>
    </row>
    <row r="39" spans="1:6" x14ac:dyDescent="0.2">
      <c r="A39" s="83"/>
      <c r="B39" s="82" t="s">
        <v>107</v>
      </c>
      <c r="C39" s="82" t="s">
        <v>108</v>
      </c>
      <c r="D39" s="82" t="s">
        <v>109</v>
      </c>
      <c r="E39" s="82" t="s">
        <v>109</v>
      </c>
      <c r="F39" s="83"/>
    </row>
    <row r="40" spans="1:6" x14ac:dyDescent="0.2">
      <c r="A40" s="83"/>
      <c r="B40" s="82" t="s">
        <v>110</v>
      </c>
      <c r="C40" s="82" t="s">
        <v>111</v>
      </c>
      <c r="D40" s="82" t="s">
        <v>112</v>
      </c>
      <c r="E40" s="82" t="s">
        <v>112</v>
      </c>
      <c r="F40" s="83"/>
    </row>
    <row r="41" spans="1:6" x14ac:dyDescent="0.2">
      <c r="A41" s="83"/>
      <c r="B41" s="82" t="s">
        <v>113</v>
      </c>
      <c r="C41" s="82" t="s">
        <v>114</v>
      </c>
      <c r="D41" s="82" t="s">
        <v>115</v>
      </c>
      <c r="E41" s="82" t="s">
        <v>114</v>
      </c>
      <c r="F41" s="83"/>
    </row>
    <row r="42" spans="1:6" x14ac:dyDescent="0.2">
      <c r="A42" s="83"/>
      <c r="B42" s="82" t="s">
        <v>116</v>
      </c>
      <c r="C42" s="82" t="s">
        <v>117</v>
      </c>
      <c r="D42" s="82" t="s">
        <v>118</v>
      </c>
      <c r="E42" s="82" t="s">
        <v>117</v>
      </c>
      <c r="F42" s="83"/>
    </row>
    <row r="43" spans="1:6" x14ac:dyDescent="0.2">
      <c r="A43" s="83"/>
      <c r="B43" s="82" t="s">
        <v>119</v>
      </c>
      <c r="C43" s="82" t="s">
        <v>120</v>
      </c>
      <c r="D43" s="82" t="s">
        <v>121</v>
      </c>
      <c r="E43" s="82" t="s">
        <v>122</v>
      </c>
      <c r="F43" s="83"/>
    </row>
    <row r="44" spans="1:6" x14ac:dyDescent="0.2">
      <c r="A44" s="83"/>
      <c r="B44" s="82" t="s">
        <v>123</v>
      </c>
      <c r="C44" s="82" t="s">
        <v>124</v>
      </c>
      <c r="D44" s="82" t="s">
        <v>124</v>
      </c>
      <c r="E44" s="82" t="s">
        <v>124</v>
      </c>
      <c r="F44" s="83"/>
    </row>
    <row r="45" spans="1:6" x14ac:dyDescent="0.2">
      <c r="A45" s="83"/>
      <c r="B45" s="82" t="s">
        <v>125</v>
      </c>
      <c r="C45" s="82" t="s">
        <v>126</v>
      </c>
      <c r="D45" s="82" t="s">
        <v>127</v>
      </c>
      <c r="E45" s="82" t="s">
        <v>128</v>
      </c>
      <c r="F45" s="83"/>
    </row>
    <row r="46" spans="1:6" x14ac:dyDescent="0.2">
      <c r="A46" s="83"/>
      <c r="B46" s="82" t="s">
        <v>129</v>
      </c>
      <c r="C46" s="82" t="s">
        <v>130</v>
      </c>
      <c r="D46" s="82" t="s">
        <v>131</v>
      </c>
      <c r="E46" s="82" t="s">
        <v>131</v>
      </c>
      <c r="F46" s="83"/>
    </row>
    <row r="47" spans="1:6" x14ac:dyDescent="0.2">
      <c r="A47" s="83"/>
      <c r="B47" s="83"/>
      <c r="C47" s="83"/>
      <c r="D47" s="83"/>
      <c r="E47" s="83"/>
      <c r="F47" s="83"/>
    </row>
    <row r="48" spans="1:6" ht="25.5" x14ac:dyDescent="0.2">
      <c r="A48" s="108" t="s">
        <v>11</v>
      </c>
      <c r="B48" s="82" t="s">
        <v>132</v>
      </c>
      <c r="C48" s="82" t="s">
        <v>133</v>
      </c>
      <c r="D48" s="82" t="s">
        <v>134</v>
      </c>
      <c r="E48" s="82" t="s">
        <v>135</v>
      </c>
      <c r="F48" s="83"/>
    </row>
    <row r="49" spans="1:6" ht="25.5" x14ac:dyDescent="0.2">
      <c r="A49" s="83"/>
      <c r="B49" s="82" t="s">
        <v>136</v>
      </c>
      <c r="C49" s="82" t="s">
        <v>137</v>
      </c>
      <c r="D49" s="82" t="s">
        <v>138</v>
      </c>
      <c r="E49" s="82" t="s">
        <v>139</v>
      </c>
      <c r="F49" s="83"/>
    </row>
    <row r="50" spans="1:6" x14ac:dyDescent="0.2">
      <c r="A50" s="83"/>
      <c r="B50" s="82" t="s">
        <v>140</v>
      </c>
      <c r="C50" s="82" t="s">
        <v>294</v>
      </c>
      <c r="D50" s="82" t="s">
        <v>316</v>
      </c>
      <c r="E50" s="82" t="s">
        <v>306</v>
      </c>
      <c r="F50" s="83"/>
    </row>
    <row r="51" spans="1:6" x14ac:dyDescent="0.2">
      <c r="A51" s="83"/>
      <c r="B51" s="82" t="s">
        <v>144</v>
      </c>
      <c r="C51" s="82" t="s">
        <v>295</v>
      </c>
      <c r="D51" s="82" t="s">
        <v>317</v>
      </c>
      <c r="E51" s="82" t="s">
        <v>307</v>
      </c>
      <c r="F51" s="83"/>
    </row>
    <row r="52" spans="1:6" x14ac:dyDescent="0.2">
      <c r="A52" s="83"/>
      <c r="B52" s="82" t="s">
        <v>148</v>
      </c>
      <c r="C52" s="82" t="s">
        <v>296</v>
      </c>
      <c r="D52" s="82" t="s">
        <v>318</v>
      </c>
      <c r="E52" s="82" t="s">
        <v>308</v>
      </c>
      <c r="F52" s="83"/>
    </row>
    <row r="53" spans="1:6" x14ac:dyDescent="0.2">
      <c r="A53" s="83"/>
      <c r="B53" s="82" t="s">
        <v>291</v>
      </c>
      <c r="C53" s="82" t="s">
        <v>297</v>
      </c>
      <c r="D53" s="82" t="s">
        <v>319</v>
      </c>
      <c r="E53" s="82" t="s">
        <v>304</v>
      </c>
      <c r="F53" s="83"/>
    </row>
    <row r="54" spans="1:6" ht="38.25" x14ac:dyDescent="0.2">
      <c r="A54" s="83"/>
      <c r="B54" s="82" t="s">
        <v>292</v>
      </c>
      <c r="C54" s="82" t="s">
        <v>141</v>
      </c>
      <c r="D54" s="82" t="s">
        <v>142</v>
      </c>
      <c r="E54" s="82" t="s">
        <v>143</v>
      </c>
      <c r="F54" s="83"/>
    </row>
    <row r="55" spans="1:6" ht="38.25" x14ac:dyDescent="0.2">
      <c r="A55" s="83"/>
      <c r="B55" s="82" t="s">
        <v>293</v>
      </c>
      <c r="C55" s="82" t="s">
        <v>145</v>
      </c>
      <c r="D55" s="82" t="s">
        <v>146</v>
      </c>
      <c r="E55" s="82" t="s">
        <v>147</v>
      </c>
      <c r="F55" s="83"/>
    </row>
    <row r="56" spans="1:6" x14ac:dyDescent="0.2">
      <c r="A56" s="83"/>
      <c r="B56" s="83"/>
      <c r="C56" s="83"/>
      <c r="D56" s="83"/>
      <c r="E56" s="83"/>
      <c r="F56" s="83"/>
    </row>
    <row r="57" spans="1:6" x14ac:dyDescent="0.2">
      <c r="A57" s="83"/>
      <c r="B57" s="82" t="s">
        <v>149</v>
      </c>
      <c r="C57" s="82" t="s">
        <v>150</v>
      </c>
      <c r="D57" s="82" t="s">
        <v>151</v>
      </c>
      <c r="E57" s="82" t="s">
        <v>152</v>
      </c>
      <c r="F57" s="83"/>
    </row>
    <row r="58" spans="1:6" x14ac:dyDescent="0.2">
      <c r="A58" s="83" t="s">
        <v>34</v>
      </c>
      <c r="B58" s="84" t="s">
        <v>153</v>
      </c>
      <c r="C58" s="84" t="s">
        <v>281</v>
      </c>
      <c r="D58" s="84" t="s">
        <v>282</v>
      </c>
      <c r="E58" s="84" t="s">
        <v>283</v>
      </c>
      <c r="F58" s="83"/>
    </row>
    <row r="59" spans="1:6" x14ac:dyDescent="0.2">
      <c r="A59" s="83"/>
      <c r="B59" s="83"/>
      <c r="C59" s="83"/>
      <c r="D59" s="83"/>
      <c r="E59" s="83"/>
      <c r="F59" s="83"/>
    </row>
    <row r="60" spans="1:6" x14ac:dyDescent="0.2">
      <c r="A60" s="108"/>
      <c r="B60" s="81"/>
      <c r="C60" s="81"/>
      <c r="D60" s="81"/>
      <c r="E60" s="81"/>
      <c r="F60" s="83"/>
    </row>
    <row r="61" spans="1:6" ht="25.5" x14ac:dyDescent="0.2">
      <c r="A61" s="83" t="s">
        <v>154</v>
      </c>
      <c r="B61" s="82" t="s">
        <v>249</v>
      </c>
      <c r="C61" s="82" t="s">
        <v>339</v>
      </c>
      <c r="D61" s="82" t="s">
        <v>346</v>
      </c>
      <c r="E61" s="82" t="s">
        <v>345</v>
      </c>
      <c r="F61" s="83"/>
    </row>
    <row r="62" spans="1:6" x14ac:dyDescent="0.2">
      <c r="A62" s="108"/>
      <c r="B62" s="81"/>
      <c r="C62" s="81"/>
      <c r="D62" s="81"/>
      <c r="E62" s="81"/>
      <c r="F62" s="83"/>
    </row>
    <row r="63" spans="1:6" x14ac:dyDescent="0.2">
      <c r="A63" s="108" t="s">
        <v>154</v>
      </c>
      <c r="B63" s="82" t="s">
        <v>155</v>
      </c>
      <c r="C63" s="82" t="s">
        <v>18</v>
      </c>
      <c r="D63" s="82" t="s">
        <v>18</v>
      </c>
      <c r="E63" s="82" t="s">
        <v>19</v>
      </c>
      <c r="F63" s="83"/>
    </row>
    <row r="64" spans="1:6" x14ac:dyDescent="0.2">
      <c r="A64" s="83"/>
      <c r="B64" s="82" t="s">
        <v>156</v>
      </c>
      <c r="C64" s="82" t="s">
        <v>157</v>
      </c>
      <c r="D64" s="82" t="s">
        <v>356</v>
      </c>
      <c r="E64" s="82" t="s">
        <v>158</v>
      </c>
      <c r="F64" s="83"/>
    </row>
    <row r="65" spans="1:6" x14ac:dyDescent="0.2">
      <c r="A65" s="83"/>
      <c r="B65" s="82" t="s">
        <v>159</v>
      </c>
      <c r="C65" s="82" t="s">
        <v>160</v>
      </c>
      <c r="D65" s="82" t="s">
        <v>355</v>
      </c>
      <c r="E65" s="82" t="s">
        <v>161</v>
      </c>
      <c r="F65" s="83"/>
    </row>
    <row r="66" spans="1:6" x14ac:dyDescent="0.2">
      <c r="A66" s="83"/>
      <c r="B66" s="82" t="s">
        <v>162</v>
      </c>
      <c r="C66" s="82" t="s">
        <v>163</v>
      </c>
      <c r="D66" s="82" t="s">
        <v>164</v>
      </c>
      <c r="E66" s="82" t="s">
        <v>250</v>
      </c>
      <c r="F66" s="83"/>
    </row>
    <row r="67" spans="1:6" x14ac:dyDescent="0.2">
      <c r="A67" s="83"/>
      <c r="B67" s="82" t="s">
        <v>165</v>
      </c>
      <c r="C67" s="82" t="s">
        <v>166</v>
      </c>
      <c r="D67" s="82" t="s">
        <v>167</v>
      </c>
      <c r="E67" s="82" t="s">
        <v>251</v>
      </c>
      <c r="F67" s="83"/>
    </row>
    <row r="68" spans="1:6" x14ac:dyDescent="0.2">
      <c r="A68" s="83"/>
      <c r="B68" s="82" t="s">
        <v>168</v>
      </c>
      <c r="C68" s="82" t="s">
        <v>320</v>
      </c>
      <c r="D68" s="82" t="s">
        <v>354</v>
      </c>
      <c r="E68" s="82" t="s">
        <v>340</v>
      </c>
      <c r="F68" s="83"/>
    </row>
    <row r="69" spans="1:6" x14ac:dyDescent="0.2">
      <c r="A69" s="83"/>
      <c r="B69" s="82" t="s">
        <v>171</v>
      </c>
      <c r="C69" s="82" t="s">
        <v>169</v>
      </c>
      <c r="D69" s="82" t="s">
        <v>170</v>
      </c>
      <c r="E69" s="82" t="s">
        <v>252</v>
      </c>
      <c r="F69" s="83"/>
    </row>
    <row r="70" spans="1:6" x14ac:dyDescent="0.2">
      <c r="A70" s="83"/>
      <c r="B70" s="82" t="s">
        <v>321</v>
      </c>
      <c r="C70" s="82" t="s">
        <v>172</v>
      </c>
      <c r="D70" s="82" t="s">
        <v>173</v>
      </c>
      <c r="E70" s="82" t="s">
        <v>253</v>
      </c>
      <c r="F70" s="83"/>
    </row>
    <row r="71" spans="1:6" x14ac:dyDescent="0.2">
      <c r="A71" s="108"/>
      <c r="B71" s="81"/>
      <c r="C71" s="81"/>
      <c r="D71" s="81"/>
      <c r="E71" s="81"/>
      <c r="F71" s="83"/>
    </row>
    <row r="72" spans="1:6" x14ac:dyDescent="0.2">
      <c r="A72" s="83"/>
      <c r="B72" s="82" t="s">
        <v>174</v>
      </c>
      <c r="C72" s="82" t="s">
        <v>175</v>
      </c>
      <c r="D72" s="82" t="s">
        <v>176</v>
      </c>
      <c r="E72" s="82" t="s">
        <v>254</v>
      </c>
      <c r="F72" s="83"/>
    </row>
    <row r="73" spans="1:6" x14ac:dyDescent="0.2">
      <c r="A73" s="83"/>
      <c r="B73" s="82" t="s">
        <v>177</v>
      </c>
      <c r="C73" s="82" t="s">
        <v>178</v>
      </c>
      <c r="D73" s="82" t="s">
        <v>179</v>
      </c>
      <c r="E73" s="82" t="s">
        <v>255</v>
      </c>
      <c r="F73" s="83"/>
    </row>
    <row r="74" spans="1:6" x14ac:dyDescent="0.2">
      <c r="A74" s="83"/>
      <c r="B74" s="82" t="s">
        <v>180</v>
      </c>
      <c r="C74" s="82" t="s">
        <v>181</v>
      </c>
      <c r="D74" s="82" t="s">
        <v>181</v>
      </c>
      <c r="E74" s="82" t="s">
        <v>181</v>
      </c>
      <c r="F74" s="83"/>
    </row>
    <row r="75" spans="1:6" x14ac:dyDescent="0.2">
      <c r="A75" s="83"/>
      <c r="B75" s="82" t="s">
        <v>182</v>
      </c>
      <c r="C75" s="82" t="s">
        <v>183</v>
      </c>
      <c r="D75" s="82" t="s">
        <v>183</v>
      </c>
      <c r="E75" s="82" t="s">
        <v>183</v>
      </c>
      <c r="F75" s="83"/>
    </row>
    <row r="76" spans="1:6" x14ac:dyDescent="0.2">
      <c r="A76" s="83"/>
      <c r="B76" s="82" t="s">
        <v>184</v>
      </c>
      <c r="C76" s="82" t="s">
        <v>185</v>
      </c>
      <c r="D76" s="82" t="s">
        <v>185</v>
      </c>
      <c r="E76" s="82" t="s">
        <v>185</v>
      </c>
      <c r="F76" s="83"/>
    </row>
    <row r="77" spans="1:6" x14ac:dyDescent="0.2">
      <c r="A77" s="83"/>
      <c r="B77" s="82" t="s">
        <v>186</v>
      </c>
      <c r="C77" s="82" t="s">
        <v>187</v>
      </c>
      <c r="D77" s="82" t="s">
        <v>188</v>
      </c>
      <c r="E77" s="82" t="s">
        <v>256</v>
      </c>
      <c r="F77" s="83"/>
    </row>
    <row r="78" spans="1:6" x14ac:dyDescent="0.2">
      <c r="A78" s="83"/>
      <c r="B78" s="82" t="s">
        <v>189</v>
      </c>
      <c r="C78" s="82" t="s">
        <v>190</v>
      </c>
      <c r="D78" s="82" t="s">
        <v>191</v>
      </c>
      <c r="E78" s="82" t="s">
        <v>257</v>
      </c>
      <c r="F78" s="83"/>
    </row>
    <row r="79" spans="1:6" x14ac:dyDescent="0.2">
      <c r="A79" s="83"/>
      <c r="B79" s="82" t="s">
        <v>192</v>
      </c>
      <c r="C79" s="82" t="s">
        <v>193</v>
      </c>
      <c r="D79" s="82" t="s">
        <v>194</v>
      </c>
      <c r="E79" s="82" t="s">
        <v>258</v>
      </c>
      <c r="F79" s="83"/>
    </row>
    <row r="80" spans="1:6" x14ac:dyDescent="0.2">
      <c r="A80" s="83"/>
      <c r="B80" s="82" t="s">
        <v>195</v>
      </c>
      <c r="C80" s="82" t="s">
        <v>196</v>
      </c>
      <c r="D80" s="82" t="s">
        <v>197</v>
      </c>
      <c r="E80" s="82" t="s">
        <v>259</v>
      </c>
      <c r="F80" s="83"/>
    </row>
    <row r="81" spans="1:6" x14ac:dyDescent="0.2">
      <c r="A81" s="83"/>
      <c r="B81" s="82" t="s">
        <v>198</v>
      </c>
      <c r="C81" s="82" t="s">
        <v>199</v>
      </c>
      <c r="D81" s="82" t="s">
        <v>200</v>
      </c>
      <c r="E81" s="82" t="s">
        <v>260</v>
      </c>
      <c r="F81" s="83"/>
    </row>
    <row r="82" spans="1:6" x14ac:dyDescent="0.2">
      <c r="A82" s="83"/>
      <c r="B82" s="82" t="s">
        <v>201</v>
      </c>
      <c r="C82" s="82" t="s">
        <v>202</v>
      </c>
      <c r="D82" s="82" t="s">
        <v>203</v>
      </c>
      <c r="E82" s="82" t="s">
        <v>261</v>
      </c>
      <c r="F82" s="83"/>
    </row>
    <row r="83" spans="1:6" x14ac:dyDescent="0.2">
      <c r="A83" s="83"/>
      <c r="B83" s="82" t="s">
        <v>204</v>
      </c>
      <c r="C83" s="82" t="s">
        <v>205</v>
      </c>
      <c r="D83" s="82" t="s">
        <v>206</v>
      </c>
      <c r="E83" s="82" t="s">
        <v>262</v>
      </c>
      <c r="F83" s="83"/>
    </row>
    <row r="84" spans="1:6" x14ac:dyDescent="0.2">
      <c r="A84" s="83"/>
      <c r="B84" s="82" t="s">
        <v>207</v>
      </c>
      <c r="C84" s="82" t="s">
        <v>208</v>
      </c>
      <c r="D84" s="82" t="s">
        <v>209</v>
      </c>
      <c r="E84" s="82" t="s">
        <v>263</v>
      </c>
      <c r="F84" s="83"/>
    </row>
    <row r="85" spans="1:6" x14ac:dyDescent="0.2">
      <c r="A85" s="83"/>
      <c r="B85" s="82" t="s">
        <v>210</v>
      </c>
      <c r="C85" s="82" t="s">
        <v>211</v>
      </c>
      <c r="D85" s="82" t="s">
        <v>212</v>
      </c>
      <c r="E85" s="82" t="s">
        <v>264</v>
      </c>
      <c r="F85" s="83"/>
    </row>
    <row r="86" spans="1:6" x14ac:dyDescent="0.2">
      <c r="A86" s="83"/>
      <c r="B86" s="82" t="s">
        <v>213</v>
      </c>
      <c r="C86" s="82" t="s">
        <v>214</v>
      </c>
      <c r="D86" s="82" t="s">
        <v>215</v>
      </c>
      <c r="E86" s="82" t="s">
        <v>265</v>
      </c>
      <c r="F86" s="83"/>
    </row>
    <row r="87" spans="1:6" x14ac:dyDescent="0.2">
      <c r="A87" s="83"/>
      <c r="B87" s="82" t="s">
        <v>216</v>
      </c>
      <c r="C87" s="82" t="s">
        <v>217</v>
      </c>
      <c r="D87" s="82" t="s">
        <v>218</v>
      </c>
      <c r="E87" s="82" t="s">
        <v>266</v>
      </c>
      <c r="F87" s="83"/>
    </row>
    <row r="88" spans="1:6" x14ac:dyDescent="0.2">
      <c r="A88" s="83"/>
      <c r="B88" s="82" t="s">
        <v>219</v>
      </c>
      <c r="C88" s="82" t="s">
        <v>322</v>
      </c>
      <c r="D88" s="82" t="s">
        <v>347</v>
      </c>
      <c r="E88" s="82" t="s">
        <v>341</v>
      </c>
      <c r="F88" s="83"/>
    </row>
    <row r="89" spans="1:6" x14ac:dyDescent="0.2">
      <c r="A89" s="83"/>
      <c r="B89" s="82" t="s">
        <v>222</v>
      </c>
      <c r="C89" s="82" t="s">
        <v>323</v>
      </c>
      <c r="D89" s="82" t="s">
        <v>348</v>
      </c>
      <c r="E89" s="82" t="s">
        <v>342</v>
      </c>
      <c r="F89" s="83"/>
    </row>
    <row r="90" spans="1:6" x14ac:dyDescent="0.2">
      <c r="A90" s="83"/>
      <c r="B90" s="82" t="s">
        <v>225</v>
      </c>
      <c r="C90" s="82" t="s">
        <v>324</v>
      </c>
      <c r="D90" s="82" t="s">
        <v>349</v>
      </c>
      <c r="E90" s="82" t="s">
        <v>343</v>
      </c>
      <c r="F90" s="83"/>
    </row>
    <row r="91" spans="1:6" x14ac:dyDescent="0.2">
      <c r="A91" s="83"/>
      <c r="B91" s="82" t="s">
        <v>228</v>
      </c>
      <c r="C91" s="82" t="s">
        <v>325</v>
      </c>
      <c r="D91" s="82" t="s">
        <v>350</v>
      </c>
      <c r="E91" s="82" t="s">
        <v>344</v>
      </c>
      <c r="F91" s="83"/>
    </row>
    <row r="92" spans="1:6" x14ac:dyDescent="0.2">
      <c r="A92" s="83"/>
      <c r="B92" s="82" t="s">
        <v>241</v>
      </c>
      <c r="C92" s="82" t="s">
        <v>220</v>
      </c>
      <c r="D92" s="82" t="s">
        <v>221</v>
      </c>
      <c r="E92" s="82" t="s">
        <v>267</v>
      </c>
      <c r="F92" s="83"/>
    </row>
    <row r="93" spans="1:6" x14ac:dyDescent="0.2">
      <c r="A93" s="83"/>
      <c r="B93" s="82" t="s">
        <v>242</v>
      </c>
      <c r="C93" s="82" t="s">
        <v>223</v>
      </c>
      <c r="D93" s="82" t="s">
        <v>224</v>
      </c>
      <c r="E93" s="82" t="s">
        <v>268</v>
      </c>
      <c r="F93" s="83"/>
    </row>
    <row r="94" spans="1:6" x14ac:dyDescent="0.2">
      <c r="A94" s="83"/>
      <c r="B94" s="82" t="s">
        <v>245</v>
      </c>
      <c r="C94" s="82" t="s">
        <v>226</v>
      </c>
      <c r="D94" s="82" t="s">
        <v>227</v>
      </c>
      <c r="E94" s="82" t="s">
        <v>269</v>
      </c>
      <c r="F94" s="83"/>
    </row>
    <row r="95" spans="1:6" x14ac:dyDescent="0.2">
      <c r="A95" s="83"/>
      <c r="B95" s="82" t="s">
        <v>326</v>
      </c>
      <c r="C95" s="82" t="s">
        <v>229</v>
      </c>
      <c r="D95" s="82" t="s">
        <v>230</v>
      </c>
      <c r="E95" s="82" t="s">
        <v>270</v>
      </c>
      <c r="F95" s="83"/>
    </row>
    <row r="96" spans="1:6" x14ac:dyDescent="0.2">
      <c r="A96" s="83"/>
      <c r="B96" s="82" t="s">
        <v>327</v>
      </c>
      <c r="C96" s="82" t="s">
        <v>231</v>
      </c>
      <c r="D96" s="82" t="s">
        <v>232</v>
      </c>
      <c r="E96" s="82" t="s">
        <v>271</v>
      </c>
      <c r="F96" s="83"/>
    </row>
    <row r="97" spans="1:6" x14ac:dyDescent="0.2">
      <c r="A97" s="83"/>
      <c r="B97" s="82" t="s">
        <v>328</v>
      </c>
      <c r="C97" s="82" t="s">
        <v>233</v>
      </c>
      <c r="D97" s="82" t="s">
        <v>234</v>
      </c>
      <c r="E97" s="82" t="s">
        <v>272</v>
      </c>
      <c r="F97" s="83"/>
    </row>
    <row r="98" spans="1:6" x14ac:dyDescent="0.2">
      <c r="A98" s="83"/>
      <c r="B98" s="82" t="s">
        <v>329</v>
      </c>
      <c r="C98" s="82" t="s">
        <v>235</v>
      </c>
      <c r="D98" s="82" t="s">
        <v>236</v>
      </c>
      <c r="E98" s="82" t="s">
        <v>273</v>
      </c>
      <c r="F98" s="83"/>
    </row>
    <row r="99" spans="1:6" x14ac:dyDescent="0.2">
      <c r="A99" s="83"/>
      <c r="B99" s="82" t="s">
        <v>330</v>
      </c>
      <c r="C99" s="82" t="s">
        <v>333</v>
      </c>
      <c r="D99" s="82" t="s">
        <v>351</v>
      </c>
      <c r="E99" s="82" t="s">
        <v>274</v>
      </c>
      <c r="F99" s="83"/>
    </row>
    <row r="100" spans="1:6" ht="25.5" x14ac:dyDescent="0.2">
      <c r="A100" s="83"/>
      <c r="B100" s="82" t="s">
        <v>331</v>
      </c>
      <c r="C100" s="82" t="s">
        <v>237</v>
      </c>
      <c r="D100" s="82" t="s">
        <v>238</v>
      </c>
      <c r="E100" s="82" t="s">
        <v>275</v>
      </c>
      <c r="F100" s="83"/>
    </row>
    <row r="101" spans="1:6" ht="25.5" x14ac:dyDescent="0.2">
      <c r="A101" s="83"/>
      <c r="B101" s="82" t="s">
        <v>332</v>
      </c>
      <c r="C101" s="82" t="s">
        <v>334</v>
      </c>
      <c r="D101" s="82" t="s">
        <v>352</v>
      </c>
      <c r="E101" s="82" t="s">
        <v>276</v>
      </c>
      <c r="F101" s="83"/>
    </row>
    <row r="102" spans="1:6" x14ac:dyDescent="0.2">
      <c r="A102" s="83"/>
      <c r="B102" s="82" t="s">
        <v>336</v>
      </c>
      <c r="C102" s="82" t="s">
        <v>335</v>
      </c>
      <c r="D102" s="82" t="s">
        <v>353</v>
      </c>
      <c r="E102" s="82" t="s">
        <v>278</v>
      </c>
      <c r="F102" s="83"/>
    </row>
    <row r="103" spans="1:6" x14ac:dyDescent="0.2">
      <c r="A103" s="83"/>
      <c r="B103" s="82" t="s">
        <v>337</v>
      </c>
      <c r="C103" s="82" t="s">
        <v>243</v>
      </c>
      <c r="D103" s="82" t="s">
        <v>244</v>
      </c>
      <c r="E103" s="82" t="s">
        <v>279</v>
      </c>
      <c r="F103" s="83"/>
    </row>
    <row r="104" spans="1:6" x14ac:dyDescent="0.2">
      <c r="A104" s="83"/>
      <c r="B104" s="82" t="s">
        <v>338</v>
      </c>
      <c r="C104" s="82" t="s">
        <v>246</v>
      </c>
      <c r="D104" s="82" t="s">
        <v>247</v>
      </c>
      <c r="E104" s="82" t="s">
        <v>280</v>
      </c>
      <c r="F104" s="83"/>
    </row>
    <row r="105" spans="1:6" x14ac:dyDescent="0.2">
      <c r="A105" s="83"/>
      <c r="B105" s="83"/>
      <c r="C105" s="83"/>
      <c r="D105" s="83"/>
      <c r="E105" s="83"/>
      <c r="F105" s="83"/>
    </row>
    <row r="106" spans="1:6" x14ac:dyDescent="0.2">
      <c r="A106" s="83" t="s">
        <v>154</v>
      </c>
      <c r="B106" s="84" t="s">
        <v>248</v>
      </c>
      <c r="C106" s="84" t="s">
        <v>281</v>
      </c>
      <c r="D106" s="84" t="s">
        <v>282</v>
      </c>
      <c r="E106" s="84" t="s">
        <v>283</v>
      </c>
      <c r="F106" s="83"/>
    </row>
    <row r="107" spans="1:6" x14ac:dyDescent="0.2">
      <c r="A107" s="83"/>
      <c r="B107" s="83"/>
      <c r="C107" s="83"/>
      <c r="D107" s="83"/>
      <c r="E107" s="83"/>
      <c r="F107" s="83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1A305A9C9C3C4098A609B3A2D02499" ma:contentTypeVersion="6" ma:contentTypeDescription="Ein neues Dokument erstellen." ma:contentTypeScope="" ma:versionID="d5f0728155f63b5d26d99febc708cffd">
  <xsd:schema xmlns:xsd="http://www.w3.org/2001/XMLSchema" xmlns:xs="http://www.w3.org/2001/XMLSchema" xmlns:p="http://schemas.microsoft.com/office/2006/metadata/properties" xmlns:ns1="http://schemas.microsoft.com/sharepoint/v3" xmlns:ns2="e11447a0-d75b-4220-bc4c-e307357fa010" targetNamespace="http://schemas.microsoft.com/office/2006/metadata/properties" ma:root="true" ma:fieldsID="705b9b9de7bf6d586650075ca99a9646" ns1:_="" ns2:_="">
    <xsd:import namespace="http://schemas.microsoft.com/sharepoint/v3"/>
    <xsd:import namespace="e11447a0-d75b-4220-bc4c-e307357fa0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447a0-d75b-4220-bc4c-e307357fa010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el_DE xmlns="e11447a0-d75b-4220-bc4c-e307357fa010">Hauptverkehrsmittel zur Arbeitsstätte (aggregiert) nach verschiedenen soziodemografischen Merkmalen und Kanton, 2022</Titel_DE>
    <Titel_RM xmlns="e11447a0-d75b-4220-bc4c-e307357fa010">Med da transport principal al lieu da lavur (agregà) tenor differentas caracteristicas sociodemograficas e il chantun, 2022</Titel_RM>
    <Kategorie xmlns="e11447a0-d75b-4220-bc4c-e307357fa010">11 Mobilität und Verkehr</Kategorie>
    <Titel_IT xmlns="e11447a0-d75b-4220-bc4c-e307357fa010">Principale mezzo di trasporto usato per recarsi al lavoro (aggregato) secondo diverse caratteristiche socio-demografiche e il Cantone, 2022</Titel_IT>
    <Benutzerdefinierte_x0020_ID xmlns="e11447a0-d75b-4220-bc4c-e307357fa010">1003</Benutzerdefinierte_x0020_I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26E250-B1A9-461B-A282-7342B099A848}"/>
</file>

<file path=customXml/itemProps2.xml><?xml version="1.0" encoding="utf-8"?>
<ds:datastoreItem xmlns:ds="http://schemas.openxmlformats.org/officeDocument/2006/customXml" ds:itemID="{BA1847D7-0FC3-4B69-9E86-CEAF3C10EB37}"/>
</file>

<file path=customXml/itemProps3.xml><?xml version="1.0" encoding="utf-8"?>
<ds:datastoreItem xmlns:ds="http://schemas.openxmlformats.org/officeDocument/2006/customXml" ds:itemID="{629433E8-E4D9-4C6C-BE23-D2151EF4962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Schweiz 2022</vt:lpstr>
      <vt:lpstr>Graubünden 2022</vt:lpstr>
      <vt:lpstr>Uebersetzungen</vt:lpstr>
    </vt:vector>
  </TitlesOfParts>
  <Manager/>
  <Company>Kantonale Verwaltung Graubünden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Hauptverkehrsmittel zur Arbeitsstätte, nach soziodemografischen Merkmalen und Kanton</dc:title>
  <dc:subject/>
  <dc:creator>Luzius.Stricker@awt.gr.ch</dc:creator>
  <cp:keywords/>
  <dc:description/>
  <cp:lastModifiedBy>Stricker Luzius</cp:lastModifiedBy>
  <cp:revision/>
  <dcterms:created xsi:type="dcterms:W3CDTF">2017-05-04T09:10:20Z</dcterms:created>
  <dcterms:modified xsi:type="dcterms:W3CDTF">2024-03-11T13:06:58Z</dcterms:modified>
  <cp:category>Strukturerhebung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0x010100A81A305A9C9C3C4098A609B3A2D02499</vt:lpwstr>
  </property>
</Properties>
</file>