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ustom.xml" ContentType="application/vnd.openxmlformats-officedocument.custom-properties+xml"/>
  <Override PartName="/xl/ctrlProps/ctrlProp21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25.xml" ContentType="application/vnd.ms-excel.controlproperties+xml"/>
  <Override PartName="/xl/ctrlProps/ctrlProp23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24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alcChain.xml" ContentType="application/vnd.openxmlformats-officedocument.spreadsheetml.calcChain+xml"/>
  <Override PartName="/xl/ctrlProps/ctrlProp22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10 TOURISMUS\HESTA ab 2017\Monatsdaten\Monatsauswertungen 2025\"/>
    </mc:Choice>
  </mc:AlternateContent>
  <xr:revisionPtr revIDLastSave="0" documentId="13_ncr:1_{C60CCD46-C252-42A6-90BE-8C976486178D}" xr6:coauthVersionLast="47" xr6:coauthVersionMax="47" xr10:uidLastSave="{00000000-0000-0000-0000-000000000000}"/>
  <workbookProtection lockStructure="1"/>
  <bookViews>
    <workbookView xWindow="-120" yWindow="-120" windowWidth="29040" windowHeight="17520" firstSheet="2" activeTab="2" xr2:uid="{00000000-000D-0000-FFFF-FFFF00000000}"/>
  </bookViews>
  <sheets>
    <sheet name="Dezember" sheetId="18" state="hidden" r:id="rId1"/>
    <sheet name="November" sheetId="17" state="hidden" r:id="rId2"/>
    <sheet name="Oktober" sheetId="16" r:id="rId3"/>
    <sheet name="September" sheetId="15" r:id="rId4"/>
    <sheet name="August" sheetId="14" r:id="rId5"/>
    <sheet name="Juli" sheetId="13" r:id="rId6"/>
    <sheet name="Juni" sheetId="12" r:id="rId7"/>
    <sheet name="Mai" sheetId="11" r:id="rId8"/>
    <sheet name="April" sheetId="10" r:id="rId9"/>
    <sheet name="März" sheetId="9" r:id="rId10"/>
    <sheet name="Februar" sheetId="7" r:id="rId11"/>
    <sheet name="Januar" sheetId="6" r:id="rId12"/>
    <sheet name="Länder_Pajais_Paesi" sheetId="19" r:id="rId13"/>
    <sheet name="Uebersetzungen" sheetId="5" state="hidden" r:id="rId14"/>
  </sheets>
  <definedNames>
    <definedName name="_xlnm.Print_Area" localSheetId="8">April!$A$1:$J$101</definedName>
    <definedName name="_xlnm.Print_Area" localSheetId="4">August!$A$1:$J$101</definedName>
    <definedName name="_xlnm.Print_Area" localSheetId="0">Dezember!$A$1:$J$101</definedName>
    <definedName name="_xlnm.Print_Area" localSheetId="10">Februar!$A$1:$J$101</definedName>
    <definedName name="_xlnm.Print_Area" localSheetId="11">Januar!$A$1:$J$101</definedName>
    <definedName name="_xlnm.Print_Area" localSheetId="5">Juli!$A$1:$J$101</definedName>
    <definedName name="_xlnm.Print_Area" localSheetId="6">Juni!$A$1:$J$101</definedName>
    <definedName name="_xlnm.Print_Area" localSheetId="12">Länder_Pajais_Paesi!$A$1:$F$90</definedName>
    <definedName name="_xlnm.Print_Area" localSheetId="7">Mai!$A$1:$J$101</definedName>
    <definedName name="_xlnm.Print_Area" localSheetId="9">März!$A$1:$J$101</definedName>
    <definedName name="_xlnm.Print_Area" localSheetId="1">November!$A$1:$J$101</definedName>
    <definedName name="_xlnm.Print_Area" localSheetId="2">Oktober!$A$1:$J$101</definedName>
    <definedName name="_xlnm.Print_Area" localSheetId="3">September!$A$1:$J$101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6" l="1"/>
  <c r="I52" i="18" l="1"/>
  <c r="I53" i="18"/>
  <c r="I54" i="18"/>
  <c r="I55" i="18"/>
  <c r="I56" i="18"/>
  <c r="I57" i="18"/>
  <c r="I58" i="18"/>
  <c r="E52" i="18"/>
  <c r="E53" i="18"/>
  <c r="E54" i="18"/>
  <c r="E55" i="18"/>
  <c r="E56" i="18"/>
  <c r="E57" i="18"/>
  <c r="E58" i="18"/>
  <c r="I52" i="17" l="1"/>
  <c r="I53" i="17"/>
  <c r="I54" i="17"/>
  <c r="I55" i="17"/>
  <c r="I56" i="17"/>
  <c r="I57" i="17"/>
  <c r="I58" i="17"/>
  <c r="E52" i="17"/>
  <c r="E53" i="17"/>
  <c r="E54" i="17"/>
  <c r="E55" i="17"/>
  <c r="E56" i="17"/>
  <c r="E57" i="17"/>
  <c r="E58" i="17"/>
  <c r="I49" i="16"/>
  <c r="I50" i="16"/>
  <c r="I51" i="16"/>
  <c r="I52" i="16"/>
  <c r="I53" i="16"/>
  <c r="I54" i="16"/>
  <c r="I55" i="16"/>
  <c r="E49" i="16"/>
  <c r="E50" i="16"/>
  <c r="E51" i="16"/>
  <c r="E52" i="16"/>
  <c r="E53" i="16"/>
  <c r="E54" i="16"/>
  <c r="E55" i="16"/>
  <c r="I52" i="15"/>
  <c r="I53" i="15"/>
  <c r="I54" i="15"/>
  <c r="I55" i="15"/>
  <c r="I56" i="15"/>
  <c r="I57" i="15"/>
  <c r="I58" i="15"/>
  <c r="E52" i="15"/>
  <c r="E53" i="15"/>
  <c r="E54" i="15"/>
  <c r="E55" i="15"/>
  <c r="E56" i="15"/>
  <c r="E57" i="15"/>
  <c r="E58" i="15"/>
  <c r="I53" i="14"/>
  <c r="I54" i="14"/>
  <c r="I55" i="14"/>
  <c r="I56" i="14"/>
  <c r="I57" i="14"/>
  <c r="I58" i="14"/>
  <c r="I59" i="14"/>
  <c r="E53" i="14"/>
  <c r="E54" i="14"/>
  <c r="E55" i="14"/>
  <c r="E56" i="14"/>
  <c r="E57" i="14"/>
  <c r="E58" i="14"/>
  <c r="E59" i="14"/>
  <c r="I51" i="13" l="1"/>
  <c r="I52" i="13"/>
  <c r="I53" i="13"/>
  <c r="I54" i="13"/>
  <c r="I55" i="13"/>
  <c r="I56" i="13"/>
  <c r="I57" i="13"/>
  <c r="E51" i="13"/>
  <c r="E52" i="13"/>
  <c r="E53" i="13"/>
  <c r="E54" i="13"/>
  <c r="E55" i="13"/>
  <c r="E56" i="13"/>
  <c r="E57" i="13"/>
  <c r="I53" i="12"/>
  <c r="I54" i="12"/>
  <c r="I55" i="12"/>
  <c r="I56" i="12"/>
  <c r="I57" i="12"/>
  <c r="I58" i="12"/>
  <c r="I59" i="12"/>
  <c r="E53" i="12"/>
  <c r="E54" i="12"/>
  <c r="E55" i="12"/>
  <c r="E56" i="12"/>
  <c r="E57" i="12"/>
  <c r="E58" i="12"/>
  <c r="E59" i="12"/>
  <c r="I52" i="11"/>
  <c r="I53" i="11"/>
  <c r="I54" i="11"/>
  <c r="I55" i="11"/>
  <c r="I56" i="11"/>
  <c r="I57" i="11"/>
  <c r="I58" i="11"/>
  <c r="E52" i="11"/>
  <c r="E53" i="11"/>
  <c r="E54" i="11"/>
  <c r="E55" i="11"/>
  <c r="E56" i="11"/>
  <c r="E57" i="11"/>
  <c r="E58" i="11"/>
  <c r="I48" i="10"/>
  <c r="I49" i="10"/>
  <c r="I50" i="10"/>
  <c r="I51" i="10"/>
  <c r="I52" i="10"/>
  <c r="I53" i="10"/>
  <c r="I54" i="10"/>
  <c r="E48" i="10"/>
  <c r="E49" i="10"/>
  <c r="E50" i="10"/>
  <c r="E51" i="10"/>
  <c r="E52" i="10"/>
  <c r="E53" i="10"/>
  <c r="E54" i="10"/>
  <c r="I52" i="9" l="1"/>
  <c r="I53" i="9"/>
  <c r="I54" i="9"/>
  <c r="I55" i="9"/>
  <c r="I56" i="9"/>
  <c r="I57" i="9"/>
  <c r="I58" i="9"/>
  <c r="E52" i="9"/>
  <c r="E53" i="9"/>
  <c r="E54" i="9"/>
  <c r="E55" i="9"/>
  <c r="E56" i="9"/>
  <c r="E57" i="9"/>
  <c r="E58" i="9"/>
  <c r="I71" i="7"/>
  <c r="I52" i="7"/>
  <c r="I53" i="7"/>
  <c r="I54" i="7"/>
  <c r="I55" i="7"/>
  <c r="I56" i="7"/>
  <c r="I57" i="7"/>
  <c r="I58" i="7"/>
  <c r="E52" i="7"/>
  <c r="E53" i="7"/>
  <c r="E54" i="7"/>
  <c r="E55" i="7"/>
  <c r="E56" i="7"/>
  <c r="E57" i="7"/>
  <c r="E58" i="7"/>
  <c r="E59" i="7"/>
  <c r="E71" i="7"/>
  <c r="E72" i="7"/>
  <c r="E58" i="6"/>
  <c r="E59" i="6"/>
  <c r="E60" i="6"/>
  <c r="E61" i="6"/>
  <c r="E62" i="6"/>
  <c r="E63" i="6"/>
  <c r="E66" i="6"/>
  <c r="E67" i="6"/>
  <c r="E68" i="6"/>
  <c r="E69" i="6"/>
  <c r="E70" i="6"/>
  <c r="E71" i="6"/>
  <c r="C30" i="19" l="1"/>
  <c r="C74" i="19"/>
  <c r="C56" i="19"/>
  <c r="C52" i="19"/>
  <c r="C48" i="19"/>
  <c r="C44" i="19"/>
  <c r="C40" i="19"/>
  <c r="C34" i="19"/>
  <c r="C33" i="19"/>
  <c r="C26" i="19"/>
  <c r="C60" i="19"/>
  <c r="C53" i="19"/>
  <c r="C42" i="19"/>
  <c r="C39" i="19"/>
  <c r="C32" i="19"/>
  <c r="C16" i="19"/>
  <c r="C78" i="19"/>
  <c r="C76" i="19"/>
  <c r="C70" i="19"/>
  <c r="C64" i="19"/>
  <c r="C55" i="19"/>
  <c r="C50" i="19"/>
  <c r="C47" i="19"/>
  <c r="C31" i="19"/>
  <c r="C29" i="19"/>
  <c r="C81" i="19"/>
  <c r="C80" i="19"/>
  <c r="C65" i="19"/>
  <c r="C59" i="19"/>
  <c r="C58" i="19"/>
  <c r="C45" i="19"/>
  <c r="C43" i="19"/>
  <c r="C25" i="19"/>
  <c r="C20" i="19"/>
  <c r="C17" i="19"/>
  <c r="C79" i="19"/>
  <c r="C77" i="19"/>
  <c r="C49" i="19"/>
  <c r="C21" i="19"/>
  <c r="C14" i="19"/>
  <c r="C85" i="19"/>
  <c r="C72" i="19"/>
  <c r="C66" i="19"/>
  <c r="C63" i="19"/>
  <c r="C41" i="19"/>
  <c r="C28" i="19"/>
  <c r="C73" i="19"/>
  <c r="C75" i="19"/>
  <c r="C68" i="19"/>
  <c r="C13" i="19"/>
  <c r="C82" i="19"/>
  <c r="C46" i="19"/>
  <c r="C38" i="19"/>
  <c r="C67" i="19"/>
  <c r="C22" i="19"/>
  <c r="C23" i="19"/>
  <c r="C61" i="19"/>
  <c r="C37" i="19"/>
  <c r="C69" i="19"/>
  <c r="C71" i="19"/>
  <c r="C15" i="19"/>
  <c r="C19" i="19"/>
  <c r="C57" i="19"/>
  <c r="C35" i="19"/>
  <c r="C54" i="19"/>
  <c r="C27" i="19"/>
  <c r="C36" i="19"/>
  <c r="C51" i="19"/>
  <c r="C18" i="19"/>
  <c r="C84" i="19"/>
  <c r="C83" i="19"/>
  <c r="C24" i="19"/>
  <c r="C62" i="19"/>
  <c r="A96" i="18" l="1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74" i="18"/>
  <c r="A73" i="18"/>
  <c r="A72" i="18"/>
  <c r="A71" i="18"/>
  <c r="A70" i="18"/>
  <c r="A69" i="18"/>
  <c r="A68" i="18"/>
  <c r="A67" i="18"/>
  <c r="A66" i="18"/>
  <c r="A65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74" i="17"/>
  <c r="A73" i="17"/>
  <c r="A72" i="17"/>
  <c r="A71" i="17"/>
  <c r="A70" i="17"/>
  <c r="A69" i="17"/>
  <c r="A68" i="17"/>
  <c r="A67" i="17"/>
  <c r="A66" i="17"/>
  <c r="A65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74" i="16"/>
  <c r="A73" i="16"/>
  <c r="A72" i="16"/>
  <c r="A71" i="16"/>
  <c r="A70" i="16"/>
  <c r="A69" i="16"/>
  <c r="A68" i="16"/>
  <c r="A67" i="16"/>
  <c r="A66" i="16"/>
  <c r="A65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74" i="15"/>
  <c r="A73" i="15"/>
  <c r="A72" i="15"/>
  <c r="A71" i="15"/>
  <c r="A70" i="15"/>
  <c r="A69" i="15"/>
  <c r="A68" i="15"/>
  <c r="A67" i="15"/>
  <c r="A66" i="15"/>
  <c r="A65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74" i="14"/>
  <c r="A73" i="14"/>
  <c r="A72" i="14"/>
  <c r="A71" i="14"/>
  <c r="A70" i="14"/>
  <c r="A69" i="14"/>
  <c r="A68" i="14"/>
  <c r="A67" i="14"/>
  <c r="A66" i="14"/>
  <c r="A65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74" i="13"/>
  <c r="A73" i="13"/>
  <c r="A72" i="13"/>
  <c r="A71" i="13"/>
  <c r="A70" i="13"/>
  <c r="A69" i="13"/>
  <c r="A68" i="13"/>
  <c r="A67" i="13"/>
  <c r="A66" i="13"/>
  <c r="A65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74" i="12"/>
  <c r="A73" i="12"/>
  <c r="A72" i="12"/>
  <c r="A71" i="12"/>
  <c r="A70" i="12"/>
  <c r="A69" i="12"/>
  <c r="A68" i="12"/>
  <c r="A67" i="12"/>
  <c r="A66" i="12"/>
  <c r="A65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74" i="11"/>
  <c r="A73" i="11"/>
  <c r="A72" i="11"/>
  <c r="A71" i="11"/>
  <c r="A70" i="11"/>
  <c r="A69" i="11"/>
  <c r="A68" i="11"/>
  <c r="A67" i="11"/>
  <c r="A66" i="11"/>
  <c r="A65" i="11"/>
  <c r="A63" i="11"/>
  <c r="A62" i="11"/>
  <c r="A61" i="11"/>
  <c r="A60" i="11"/>
  <c r="A59" i="11"/>
  <c r="A58" i="11"/>
  <c r="A57" i="11"/>
  <c r="A56" i="11"/>
  <c r="A55" i="11"/>
  <c r="A54" i="11"/>
  <c r="A74" i="10"/>
  <c r="A73" i="10"/>
  <c r="A72" i="10"/>
  <c r="A71" i="10"/>
  <c r="A70" i="10"/>
  <c r="A69" i="10"/>
  <c r="A68" i="10"/>
  <c r="A67" i="10"/>
  <c r="A66" i="10"/>
  <c r="A65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98" i="10"/>
  <c r="A99" i="10"/>
  <c r="A100" i="10"/>
  <c r="A101" i="10"/>
  <c r="A74" i="9"/>
  <c r="A73" i="9"/>
  <c r="A72" i="9"/>
  <c r="A71" i="9"/>
  <c r="A70" i="9"/>
  <c r="A69" i="9"/>
  <c r="A68" i="9"/>
  <c r="A67" i="9"/>
  <c r="A66" i="9"/>
  <c r="A65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74" i="7"/>
  <c r="A73" i="7"/>
  <c r="A72" i="7"/>
  <c r="A71" i="7"/>
  <c r="A70" i="7"/>
  <c r="A69" i="7"/>
  <c r="A68" i="7"/>
  <c r="A67" i="7"/>
  <c r="A66" i="7"/>
  <c r="A65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73" i="6"/>
  <c r="A72" i="6"/>
  <c r="A76" i="18"/>
  <c r="A76" i="17"/>
  <c r="A76" i="16"/>
  <c r="A76" i="15"/>
  <c r="A76" i="14"/>
  <c r="A76" i="13"/>
  <c r="A76" i="12"/>
  <c r="A76" i="11"/>
  <c r="A76" i="10"/>
  <c r="A76" i="9"/>
  <c r="A76" i="7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80" i="7"/>
  <c r="C12" i="19" l="1"/>
  <c r="A12" i="19"/>
  <c r="A9" i="19"/>
  <c r="A89" i="19"/>
  <c r="A88" i="19"/>
  <c r="A7" i="19"/>
  <c r="A76" i="6"/>
  <c r="A71" i="6"/>
  <c r="A70" i="6"/>
  <c r="A69" i="6"/>
  <c r="A68" i="6"/>
  <c r="A67" i="6"/>
  <c r="A66" i="6"/>
  <c r="A65" i="6"/>
  <c r="A63" i="6"/>
  <c r="A62" i="6"/>
  <c r="A61" i="6"/>
  <c r="A60" i="6"/>
  <c r="A59" i="6"/>
  <c r="A58" i="6"/>
  <c r="A57" i="6"/>
  <c r="F74" i="18" l="1"/>
  <c r="J74" i="18"/>
  <c r="F74" i="17"/>
  <c r="J74" i="17"/>
  <c r="I74" i="18"/>
  <c r="E74" i="18"/>
  <c r="I73" i="18"/>
  <c r="E73" i="18"/>
  <c r="I72" i="18"/>
  <c r="E72" i="18"/>
  <c r="I71" i="18"/>
  <c r="E71" i="18"/>
  <c r="I70" i="18"/>
  <c r="E70" i="18"/>
  <c r="I69" i="18"/>
  <c r="E69" i="18"/>
  <c r="I68" i="18"/>
  <c r="E68" i="18"/>
  <c r="I67" i="18"/>
  <c r="E67" i="18"/>
  <c r="I66" i="18"/>
  <c r="E66" i="18"/>
  <c r="I63" i="18"/>
  <c r="E63" i="18"/>
  <c r="I62" i="18"/>
  <c r="E62" i="18"/>
  <c r="I61" i="18"/>
  <c r="E61" i="18"/>
  <c r="I60" i="18"/>
  <c r="E60" i="18"/>
  <c r="I59" i="18"/>
  <c r="E59" i="18"/>
  <c r="I51" i="18"/>
  <c r="E51" i="18"/>
  <c r="I50" i="18"/>
  <c r="E50" i="18"/>
  <c r="I49" i="18"/>
  <c r="E49" i="18"/>
  <c r="I48" i="18"/>
  <c r="E48" i="18"/>
  <c r="I47" i="18"/>
  <c r="E47" i="18"/>
  <c r="I46" i="18"/>
  <c r="E46" i="18"/>
  <c r="I45" i="18"/>
  <c r="E45" i="18"/>
  <c r="I44" i="18"/>
  <c r="E44" i="18"/>
  <c r="I43" i="18"/>
  <c r="E43" i="18"/>
  <c r="I42" i="18"/>
  <c r="E42" i="18"/>
  <c r="I41" i="18"/>
  <c r="E41" i="18"/>
  <c r="I40" i="18"/>
  <c r="E40" i="18"/>
  <c r="I74" i="17"/>
  <c r="E74" i="17"/>
  <c r="I73" i="17"/>
  <c r="E73" i="17"/>
  <c r="I72" i="17"/>
  <c r="E72" i="17"/>
  <c r="I71" i="17"/>
  <c r="E71" i="17"/>
  <c r="I70" i="17"/>
  <c r="E70" i="17"/>
  <c r="I69" i="17"/>
  <c r="E69" i="17"/>
  <c r="I68" i="17"/>
  <c r="E68" i="17"/>
  <c r="I67" i="17"/>
  <c r="E67" i="17"/>
  <c r="I66" i="17"/>
  <c r="E66" i="17"/>
  <c r="I63" i="17"/>
  <c r="E63" i="17"/>
  <c r="I62" i="17"/>
  <c r="E62" i="17"/>
  <c r="I61" i="17"/>
  <c r="E61" i="17"/>
  <c r="I60" i="17"/>
  <c r="E60" i="17"/>
  <c r="I59" i="17"/>
  <c r="E59" i="17"/>
  <c r="I51" i="17"/>
  <c r="E51" i="17"/>
  <c r="I50" i="17"/>
  <c r="E50" i="17"/>
  <c r="I49" i="17"/>
  <c r="E49" i="17"/>
  <c r="I48" i="17"/>
  <c r="E48" i="17"/>
  <c r="I47" i="17"/>
  <c r="E47" i="17"/>
  <c r="I46" i="17"/>
  <c r="E46" i="17"/>
  <c r="I45" i="17"/>
  <c r="E45" i="17"/>
  <c r="I44" i="17"/>
  <c r="E44" i="17"/>
  <c r="I43" i="17"/>
  <c r="E43" i="17"/>
  <c r="I42" i="17"/>
  <c r="E42" i="17"/>
  <c r="I41" i="17"/>
  <c r="E41" i="17"/>
  <c r="I40" i="17"/>
  <c r="E40" i="17"/>
  <c r="I74" i="16"/>
  <c r="E74" i="16"/>
  <c r="I72" i="16"/>
  <c r="E72" i="16"/>
  <c r="I71" i="16"/>
  <c r="E71" i="16"/>
  <c r="I70" i="16"/>
  <c r="E70" i="16"/>
  <c r="I69" i="16"/>
  <c r="E69" i="16"/>
  <c r="I68" i="16"/>
  <c r="E68" i="16"/>
  <c r="I67" i="16"/>
  <c r="E67" i="16"/>
  <c r="I66" i="16"/>
  <c r="E66" i="16"/>
  <c r="I63" i="16"/>
  <c r="E63" i="16"/>
  <c r="I62" i="16"/>
  <c r="E62" i="16"/>
  <c r="I61" i="16"/>
  <c r="E61" i="16"/>
  <c r="I60" i="16"/>
  <c r="E60" i="16"/>
  <c r="I59" i="16"/>
  <c r="E59" i="16"/>
  <c r="I58" i="16"/>
  <c r="E58" i="16"/>
  <c r="I57" i="16"/>
  <c r="E57" i="16"/>
  <c r="I56" i="16"/>
  <c r="E56" i="16"/>
  <c r="I48" i="16"/>
  <c r="E48" i="16"/>
  <c r="I47" i="16"/>
  <c r="E47" i="16"/>
  <c r="I46" i="16"/>
  <c r="E46" i="16"/>
  <c r="I45" i="16"/>
  <c r="E45" i="16"/>
  <c r="I44" i="16"/>
  <c r="E44" i="16"/>
  <c r="I43" i="16"/>
  <c r="E43" i="16"/>
  <c r="I42" i="16"/>
  <c r="E42" i="16"/>
  <c r="I41" i="16"/>
  <c r="E41" i="16"/>
  <c r="I40" i="16"/>
  <c r="E40" i="16"/>
  <c r="I74" i="15"/>
  <c r="E74" i="15"/>
  <c r="I72" i="15"/>
  <c r="E72" i="15"/>
  <c r="I71" i="15"/>
  <c r="E71" i="15"/>
  <c r="I70" i="15"/>
  <c r="E70" i="15"/>
  <c r="I69" i="15"/>
  <c r="E69" i="15"/>
  <c r="I68" i="15"/>
  <c r="E68" i="15"/>
  <c r="I67" i="15"/>
  <c r="E67" i="15"/>
  <c r="I66" i="15"/>
  <c r="E66" i="15"/>
  <c r="I63" i="15"/>
  <c r="E63" i="15"/>
  <c r="I62" i="15"/>
  <c r="E62" i="15"/>
  <c r="I61" i="15"/>
  <c r="E61" i="15"/>
  <c r="I60" i="15"/>
  <c r="E60" i="15"/>
  <c r="I59" i="15"/>
  <c r="E59" i="15"/>
  <c r="I51" i="15"/>
  <c r="E51" i="15"/>
  <c r="I50" i="15"/>
  <c r="E50" i="15"/>
  <c r="I49" i="15"/>
  <c r="E49" i="15"/>
  <c r="I48" i="15"/>
  <c r="E48" i="15"/>
  <c r="I47" i="15"/>
  <c r="E47" i="15"/>
  <c r="I46" i="15"/>
  <c r="E46" i="15"/>
  <c r="I45" i="15"/>
  <c r="E45" i="15"/>
  <c r="I44" i="15"/>
  <c r="E44" i="15"/>
  <c r="I43" i="15"/>
  <c r="E43" i="15"/>
  <c r="I42" i="15"/>
  <c r="E42" i="15"/>
  <c r="I41" i="15"/>
  <c r="E41" i="15"/>
  <c r="I40" i="15"/>
  <c r="E40" i="15"/>
  <c r="I74" i="14"/>
  <c r="E74" i="14"/>
  <c r="I72" i="14"/>
  <c r="E72" i="14"/>
  <c r="I71" i="14"/>
  <c r="E71" i="14"/>
  <c r="I70" i="14"/>
  <c r="E70" i="14"/>
  <c r="I69" i="14"/>
  <c r="E69" i="14"/>
  <c r="I68" i="14"/>
  <c r="E68" i="14"/>
  <c r="I67" i="14"/>
  <c r="E67" i="14"/>
  <c r="I66" i="14"/>
  <c r="E66" i="14"/>
  <c r="I63" i="14"/>
  <c r="E63" i="14"/>
  <c r="I62" i="14"/>
  <c r="E62" i="14"/>
  <c r="I61" i="14"/>
  <c r="E61" i="14"/>
  <c r="I60" i="14"/>
  <c r="E60" i="14"/>
  <c r="I52" i="14"/>
  <c r="E52" i="14"/>
  <c r="I51" i="14"/>
  <c r="E51" i="14"/>
  <c r="I50" i="14"/>
  <c r="E50" i="14"/>
  <c r="I49" i="14"/>
  <c r="E49" i="14"/>
  <c r="I48" i="14"/>
  <c r="E48" i="14"/>
  <c r="I47" i="14"/>
  <c r="E47" i="14"/>
  <c r="I46" i="14"/>
  <c r="E46" i="14"/>
  <c r="I45" i="14"/>
  <c r="E45" i="14"/>
  <c r="I44" i="14"/>
  <c r="E44" i="14"/>
  <c r="I43" i="14"/>
  <c r="E43" i="14"/>
  <c r="I42" i="14"/>
  <c r="E42" i="14"/>
  <c r="I41" i="14"/>
  <c r="E41" i="14"/>
  <c r="I40" i="14"/>
  <c r="E40" i="14"/>
  <c r="I74" i="13"/>
  <c r="E74" i="13"/>
  <c r="I72" i="13"/>
  <c r="E72" i="13"/>
  <c r="I71" i="13"/>
  <c r="E71" i="13"/>
  <c r="I70" i="13"/>
  <c r="E70" i="13"/>
  <c r="I69" i="13"/>
  <c r="E69" i="13"/>
  <c r="I68" i="13"/>
  <c r="E68" i="13"/>
  <c r="I67" i="13"/>
  <c r="E67" i="13"/>
  <c r="I66" i="13"/>
  <c r="E66" i="13"/>
  <c r="I63" i="13"/>
  <c r="E63" i="13"/>
  <c r="I62" i="13"/>
  <c r="E62" i="13"/>
  <c r="I61" i="13"/>
  <c r="E61" i="13"/>
  <c r="I60" i="13"/>
  <c r="E60" i="13"/>
  <c r="I59" i="13"/>
  <c r="E59" i="13"/>
  <c r="I58" i="13"/>
  <c r="E58" i="13"/>
  <c r="I50" i="13"/>
  <c r="E50" i="13"/>
  <c r="I49" i="13"/>
  <c r="E49" i="13"/>
  <c r="I48" i="13"/>
  <c r="E48" i="13"/>
  <c r="I47" i="13"/>
  <c r="E47" i="13"/>
  <c r="I46" i="13"/>
  <c r="E46" i="13"/>
  <c r="I45" i="13"/>
  <c r="E45" i="13"/>
  <c r="I44" i="13"/>
  <c r="E44" i="13"/>
  <c r="I43" i="13"/>
  <c r="E43" i="13"/>
  <c r="I42" i="13"/>
  <c r="E42" i="13"/>
  <c r="I41" i="13"/>
  <c r="E41" i="13"/>
  <c r="I40" i="13"/>
  <c r="E40" i="13"/>
  <c r="I74" i="12"/>
  <c r="E74" i="12"/>
  <c r="I72" i="12"/>
  <c r="E72" i="12"/>
  <c r="I71" i="12"/>
  <c r="E71" i="12"/>
  <c r="I70" i="12"/>
  <c r="E70" i="12"/>
  <c r="I69" i="12"/>
  <c r="E69" i="12"/>
  <c r="I68" i="12"/>
  <c r="E68" i="12"/>
  <c r="I67" i="12"/>
  <c r="E67" i="12"/>
  <c r="I66" i="12"/>
  <c r="E66" i="12"/>
  <c r="I63" i="12"/>
  <c r="E63" i="12"/>
  <c r="I62" i="12"/>
  <c r="E62" i="12"/>
  <c r="I61" i="12"/>
  <c r="E61" i="12"/>
  <c r="I60" i="12"/>
  <c r="E60" i="12"/>
  <c r="I52" i="12"/>
  <c r="E52" i="12"/>
  <c r="I51" i="12"/>
  <c r="E51" i="12"/>
  <c r="I50" i="12"/>
  <c r="E50" i="12"/>
  <c r="I49" i="12"/>
  <c r="E49" i="12"/>
  <c r="I48" i="12"/>
  <c r="E48" i="12"/>
  <c r="I47" i="12"/>
  <c r="E47" i="12"/>
  <c r="I46" i="12"/>
  <c r="E46" i="12"/>
  <c r="I45" i="12"/>
  <c r="E45" i="12"/>
  <c r="I44" i="12"/>
  <c r="E44" i="12"/>
  <c r="I43" i="12"/>
  <c r="E43" i="12"/>
  <c r="I42" i="12"/>
  <c r="E42" i="12"/>
  <c r="I41" i="12"/>
  <c r="E41" i="12"/>
  <c r="I40" i="12"/>
  <c r="E40" i="12"/>
  <c r="I74" i="11"/>
  <c r="E74" i="11"/>
  <c r="I72" i="11"/>
  <c r="E72" i="11"/>
  <c r="I71" i="11"/>
  <c r="E71" i="11"/>
  <c r="I70" i="11"/>
  <c r="E70" i="11"/>
  <c r="I69" i="11"/>
  <c r="E69" i="11"/>
  <c r="I68" i="11"/>
  <c r="E68" i="11"/>
  <c r="I67" i="11"/>
  <c r="E67" i="11"/>
  <c r="I66" i="11"/>
  <c r="E66" i="11"/>
  <c r="I63" i="11"/>
  <c r="E63" i="11"/>
  <c r="I62" i="11"/>
  <c r="E62" i="11"/>
  <c r="I61" i="11"/>
  <c r="E61" i="11"/>
  <c r="I60" i="11"/>
  <c r="E60" i="11"/>
  <c r="I59" i="11"/>
  <c r="E59" i="11"/>
  <c r="I51" i="11"/>
  <c r="E51" i="11"/>
  <c r="I50" i="11"/>
  <c r="E50" i="11"/>
  <c r="I49" i="11"/>
  <c r="E49" i="11"/>
  <c r="I48" i="11"/>
  <c r="E48" i="11"/>
  <c r="I47" i="11"/>
  <c r="E47" i="11"/>
  <c r="I46" i="11"/>
  <c r="E46" i="11"/>
  <c r="I45" i="11"/>
  <c r="E45" i="11"/>
  <c r="I44" i="11"/>
  <c r="E44" i="11"/>
  <c r="I43" i="11"/>
  <c r="E43" i="11"/>
  <c r="I42" i="11"/>
  <c r="E42" i="11"/>
  <c r="I41" i="11"/>
  <c r="E41" i="11"/>
  <c r="I40" i="11"/>
  <c r="E40" i="11"/>
  <c r="I74" i="10"/>
  <c r="E74" i="10"/>
  <c r="I72" i="10"/>
  <c r="E72" i="10"/>
  <c r="I71" i="10"/>
  <c r="E71" i="10"/>
  <c r="I70" i="10"/>
  <c r="E70" i="10"/>
  <c r="I69" i="10"/>
  <c r="E69" i="10"/>
  <c r="I68" i="10"/>
  <c r="E68" i="10"/>
  <c r="I67" i="10"/>
  <c r="E67" i="10"/>
  <c r="I66" i="10"/>
  <c r="E66" i="10"/>
  <c r="I63" i="10"/>
  <c r="E63" i="10"/>
  <c r="I62" i="10"/>
  <c r="E62" i="10"/>
  <c r="I61" i="10"/>
  <c r="E61" i="10"/>
  <c r="I60" i="10"/>
  <c r="E60" i="10"/>
  <c r="I59" i="10"/>
  <c r="E59" i="10"/>
  <c r="I58" i="10"/>
  <c r="E58" i="10"/>
  <c r="I57" i="10"/>
  <c r="E57" i="10"/>
  <c r="I56" i="10"/>
  <c r="E56" i="10"/>
  <c r="I55" i="10"/>
  <c r="E55" i="10"/>
  <c r="I47" i="10"/>
  <c r="E47" i="10"/>
  <c r="I46" i="10"/>
  <c r="E46" i="10"/>
  <c r="I45" i="10"/>
  <c r="E45" i="10"/>
  <c r="I44" i="10"/>
  <c r="E44" i="10"/>
  <c r="I43" i="10"/>
  <c r="E43" i="10"/>
  <c r="I42" i="10"/>
  <c r="E42" i="10"/>
  <c r="I41" i="10"/>
  <c r="E41" i="10"/>
  <c r="I40" i="10"/>
  <c r="E40" i="10"/>
  <c r="I74" i="9"/>
  <c r="E74" i="9"/>
  <c r="I72" i="9"/>
  <c r="E72" i="9"/>
  <c r="I71" i="9"/>
  <c r="E71" i="9"/>
  <c r="I70" i="9"/>
  <c r="E70" i="9"/>
  <c r="I69" i="9"/>
  <c r="E69" i="9"/>
  <c r="I68" i="9"/>
  <c r="E68" i="9"/>
  <c r="I67" i="9"/>
  <c r="E67" i="9"/>
  <c r="I66" i="9"/>
  <c r="E66" i="9"/>
  <c r="I63" i="9"/>
  <c r="E63" i="9"/>
  <c r="I62" i="9"/>
  <c r="E62" i="9"/>
  <c r="I61" i="9"/>
  <c r="E61" i="9"/>
  <c r="I60" i="9"/>
  <c r="E60" i="9"/>
  <c r="I59" i="9"/>
  <c r="E59" i="9"/>
  <c r="I51" i="9"/>
  <c r="E51" i="9"/>
  <c r="I50" i="9"/>
  <c r="E50" i="9"/>
  <c r="I49" i="9"/>
  <c r="E49" i="9"/>
  <c r="I48" i="9"/>
  <c r="E48" i="9"/>
  <c r="I47" i="9"/>
  <c r="E47" i="9"/>
  <c r="I46" i="9"/>
  <c r="E46" i="9"/>
  <c r="I45" i="9"/>
  <c r="E45" i="9"/>
  <c r="I44" i="9"/>
  <c r="E44" i="9"/>
  <c r="I43" i="9"/>
  <c r="E43" i="9"/>
  <c r="I42" i="9"/>
  <c r="E42" i="9"/>
  <c r="I41" i="9"/>
  <c r="E41" i="9"/>
  <c r="I40" i="9"/>
  <c r="E40" i="9"/>
  <c r="I45" i="7"/>
  <c r="I46" i="7"/>
  <c r="I47" i="7"/>
  <c r="I48" i="7"/>
  <c r="I49" i="7"/>
  <c r="I50" i="7"/>
  <c r="I51" i="7"/>
  <c r="I59" i="7"/>
  <c r="I60" i="7"/>
  <c r="E45" i="7"/>
  <c r="E46" i="7"/>
  <c r="E47" i="7"/>
  <c r="E48" i="7"/>
  <c r="E49" i="7"/>
  <c r="E50" i="7"/>
  <c r="E51" i="7"/>
  <c r="E60" i="7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E26" i="10"/>
  <c r="I26" i="10"/>
  <c r="E24" i="9"/>
  <c r="I24" i="9"/>
  <c r="E25" i="9"/>
  <c r="I25" i="9"/>
  <c r="E26" i="9"/>
  <c r="I26" i="9"/>
  <c r="C238" i="5"/>
  <c r="C239" i="5"/>
  <c r="E238" i="5"/>
  <c r="D238" i="5"/>
  <c r="E56" i="6"/>
  <c r="E57" i="6"/>
  <c r="A96" i="6"/>
  <c r="A95" i="6"/>
  <c r="A94" i="6"/>
  <c r="A92" i="6"/>
  <c r="A91" i="6"/>
  <c r="A93" i="6"/>
  <c r="A90" i="6"/>
  <c r="A89" i="6"/>
  <c r="A88" i="6"/>
  <c r="A87" i="6"/>
  <c r="A86" i="6"/>
  <c r="A85" i="6"/>
  <c r="A84" i="6"/>
  <c r="A83" i="6"/>
  <c r="A74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1" i="6" l="1"/>
  <c r="A80" i="6" l="1"/>
  <c r="A37" i="6"/>
  <c r="A10" i="6"/>
  <c r="A37" i="7"/>
  <c r="A10" i="7"/>
  <c r="A80" i="9"/>
  <c r="A37" i="9"/>
  <c r="A10" i="9"/>
  <c r="A80" i="10"/>
  <c r="A37" i="10"/>
  <c r="A10" i="10"/>
  <c r="A80" i="11"/>
  <c r="A37" i="11"/>
  <c r="A10" i="11"/>
  <c r="A80" i="12"/>
  <c r="A37" i="12"/>
  <c r="A10" i="12"/>
  <c r="A80" i="13"/>
  <c r="A37" i="13"/>
  <c r="A10" i="13"/>
  <c r="A80" i="14"/>
  <c r="A37" i="14"/>
  <c r="A10" i="14"/>
  <c r="A80" i="15"/>
  <c r="A37" i="15"/>
  <c r="A10" i="15"/>
  <c r="A80" i="16"/>
  <c r="A37" i="16"/>
  <c r="A10" i="16"/>
  <c r="A80" i="17"/>
  <c r="A37" i="17"/>
  <c r="A10" i="17"/>
  <c r="A80" i="18"/>
  <c r="A37" i="18"/>
  <c r="A10" i="18"/>
  <c r="E243" i="5" l="1"/>
  <c r="E242" i="5"/>
  <c r="E240" i="5"/>
  <c r="E239" i="5"/>
  <c r="D243" i="5"/>
  <c r="D242" i="5"/>
  <c r="D240" i="5"/>
  <c r="D239" i="5"/>
  <c r="C243" i="5"/>
  <c r="D82" i="18" s="1"/>
  <c r="C242" i="5"/>
  <c r="C12" i="18" s="1"/>
  <c r="C240" i="5"/>
  <c r="A79" i="18" s="1"/>
  <c r="A36" i="18"/>
  <c r="A9" i="18"/>
  <c r="E229" i="5"/>
  <c r="E228" i="5"/>
  <c r="E226" i="5"/>
  <c r="E224" i="5"/>
  <c r="E225" i="5"/>
  <c r="D229" i="5"/>
  <c r="D228" i="5"/>
  <c r="D226" i="5"/>
  <c r="D224" i="5"/>
  <c r="D225" i="5"/>
  <c r="C229" i="5"/>
  <c r="D12" i="17" s="1"/>
  <c r="C228" i="5"/>
  <c r="C39" i="17" s="1"/>
  <c r="C226" i="5"/>
  <c r="C224" i="5"/>
  <c r="A36" i="17" s="1"/>
  <c r="C225" i="5"/>
  <c r="A9" i="17" s="1"/>
  <c r="E215" i="5"/>
  <c r="E214" i="5"/>
  <c r="E212" i="5"/>
  <c r="E210" i="5"/>
  <c r="E211" i="5"/>
  <c r="D215" i="5"/>
  <c r="D214" i="5"/>
  <c r="D212" i="5"/>
  <c r="D210" i="5"/>
  <c r="D211" i="5"/>
  <c r="C215" i="5"/>
  <c r="C214" i="5"/>
  <c r="C212" i="5"/>
  <c r="C210" i="5"/>
  <c r="C211" i="5"/>
  <c r="E201" i="5"/>
  <c r="E200" i="5"/>
  <c r="E198" i="5"/>
  <c r="E196" i="5"/>
  <c r="E197" i="5"/>
  <c r="D201" i="5"/>
  <c r="D200" i="5"/>
  <c r="D198" i="5"/>
  <c r="D196" i="5"/>
  <c r="D197" i="5"/>
  <c r="C201" i="5"/>
  <c r="D82" i="15" s="1"/>
  <c r="C200" i="5"/>
  <c r="C39" i="15" s="1"/>
  <c r="C198" i="5"/>
  <c r="A79" i="15" s="1"/>
  <c r="C196" i="5"/>
  <c r="A9" i="15" s="1"/>
  <c r="C197" i="5"/>
  <c r="A36" i="15" s="1"/>
  <c r="E187" i="5"/>
  <c r="E186" i="5"/>
  <c r="E184" i="5"/>
  <c r="E182" i="5"/>
  <c r="E183" i="5"/>
  <c r="D187" i="5"/>
  <c r="D186" i="5"/>
  <c r="D184" i="5"/>
  <c r="D182" i="5"/>
  <c r="D183" i="5"/>
  <c r="C187" i="5"/>
  <c r="D39" i="14" s="1"/>
  <c r="C186" i="5"/>
  <c r="C82" i="14" s="1"/>
  <c r="C184" i="5"/>
  <c r="C182" i="5"/>
  <c r="C183" i="5"/>
  <c r="E173" i="5"/>
  <c r="E172" i="5"/>
  <c r="E170" i="5"/>
  <c r="E168" i="5"/>
  <c r="E169" i="5"/>
  <c r="D173" i="5"/>
  <c r="D172" i="5"/>
  <c r="D170" i="5"/>
  <c r="D168" i="5"/>
  <c r="D169" i="5"/>
  <c r="C173" i="5"/>
  <c r="C172" i="5"/>
  <c r="C39" i="13" s="1"/>
  <c r="C170" i="5"/>
  <c r="A79" i="13" s="1"/>
  <c r="C168" i="5"/>
  <c r="C169" i="5"/>
  <c r="E159" i="5"/>
  <c r="E158" i="5"/>
  <c r="E156" i="5"/>
  <c r="E154" i="5"/>
  <c r="E155" i="5"/>
  <c r="D159" i="5"/>
  <c r="D158" i="5"/>
  <c r="D156" i="5"/>
  <c r="D154" i="5"/>
  <c r="D155" i="5"/>
  <c r="D144" i="5"/>
  <c r="C159" i="5"/>
  <c r="D82" i="12" s="1"/>
  <c r="C158" i="5"/>
  <c r="C82" i="12" s="1"/>
  <c r="C156" i="5"/>
  <c r="A79" i="12" s="1"/>
  <c r="C154" i="5"/>
  <c r="C155" i="5"/>
  <c r="E145" i="5"/>
  <c r="E144" i="5"/>
  <c r="E142" i="5"/>
  <c r="E140" i="5"/>
  <c r="E141" i="5"/>
  <c r="D145" i="5"/>
  <c r="D142" i="5"/>
  <c r="D140" i="5"/>
  <c r="D141" i="5"/>
  <c r="E131" i="5"/>
  <c r="E130" i="5"/>
  <c r="E128" i="5"/>
  <c r="E126" i="5"/>
  <c r="E127" i="5"/>
  <c r="D131" i="5"/>
  <c r="D130" i="5"/>
  <c r="D128" i="5"/>
  <c r="D126" i="5"/>
  <c r="D127" i="5"/>
  <c r="C145" i="5"/>
  <c r="D82" i="11" s="1"/>
  <c r="C144" i="5"/>
  <c r="C12" i="11" s="1"/>
  <c r="C126" i="5"/>
  <c r="A36" i="10" s="1"/>
  <c r="C128" i="5"/>
  <c r="A79" i="10" s="1"/>
  <c r="C142" i="5"/>
  <c r="A79" i="11" s="1"/>
  <c r="C140" i="5"/>
  <c r="A9" i="11" s="1"/>
  <c r="C141" i="5"/>
  <c r="C131" i="5"/>
  <c r="D39" i="10" s="1"/>
  <c r="C130" i="5"/>
  <c r="C39" i="10" s="1"/>
  <c r="C127" i="5"/>
  <c r="E117" i="5"/>
  <c r="E116" i="5"/>
  <c r="E114" i="5"/>
  <c r="E112" i="5"/>
  <c r="E113" i="5"/>
  <c r="D114" i="5"/>
  <c r="D112" i="5"/>
  <c r="D113" i="5"/>
  <c r="D117" i="5"/>
  <c r="D116" i="5"/>
  <c r="C117" i="5"/>
  <c r="D39" i="9" s="1"/>
  <c r="C116" i="5"/>
  <c r="C39" i="9" s="1"/>
  <c r="C114" i="5"/>
  <c r="A79" i="9" s="1"/>
  <c r="C112" i="5"/>
  <c r="C113" i="5"/>
  <c r="E103" i="5"/>
  <c r="E102" i="5"/>
  <c r="E100" i="5"/>
  <c r="E98" i="5"/>
  <c r="E99" i="5"/>
  <c r="D103" i="5"/>
  <c r="D102" i="5"/>
  <c r="D100" i="5"/>
  <c r="D98" i="5"/>
  <c r="D99" i="5"/>
  <c r="C100" i="5"/>
  <c r="A79" i="7" s="1"/>
  <c r="C98" i="5"/>
  <c r="C99" i="5"/>
  <c r="C103" i="5"/>
  <c r="D82" i="7" s="1"/>
  <c r="C102" i="5"/>
  <c r="C82" i="7" s="1"/>
  <c r="E12" i="5"/>
  <c r="E11" i="5"/>
  <c r="E9" i="5"/>
  <c r="E7" i="5"/>
  <c r="E8" i="5"/>
  <c r="D12" i="5"/>
  <c r="D11" i="5"/>
  <c r="D9" i="5"/>
  <c r="D7" i="5"/>
  <c r="D8" i="5"/>
  <c r="C12" i="5"/>
  <c r="C11" i="5"/>
  <c r="C9" i="5"/>
  <c r="C7" i="5"/>
  <c r="C8" i="5"/>
  <c r="D3" i="5"/>
  <c r="C13" i="5" s="1"/>
  <c r="A101" i="18"/>
  <c r="A99" i="18"/>
  <c r="J82" i="18"/>
  <c r="F82" i="18"/>
  <c r="J39" i="18"/>
  <c r="F39" i="18"/>
  <c r="D39" i="18"/>
  <c r="D12" i="18"/>
  <c r="A100" i="18"/>
  <c r="A98" i="18"/>
  <c r="I96" i="18"/>
  <c r="E96" i="18"/>
  <c r="I95" i="18"/>
  <c r="E95" i="18"/>
  <c r="I94" i="18"/>
  <c r="E94" i="18"/>
  <c r="I93" i="18"/>
  <c r="E93" i="18"/>
  <c r="I92" i="18"/>
  <c r="E92" i="18"/>
  <c r="I91" i="18"/>
  <c r="E91" i="18"/>
  <c r="I90" i="18"/>
  <c r="E90" i="18"/>
  <c r="I89" i="18"/>
  <c r="E89" i="18"/>
  <c r="I88" i="18"/>
  <c r="E88" i="18"/>
  <c r="I87" i="18"/>
  <c r="E87" i="18"/>
  <c r="I86" i="18"/>
  <c r="E86" i="18"/>
  <c r="I85" i="18"/>
  <c r="E85" i="18"/>
  <c r="I84" i="18"/>
  <c r="E84" i="18"/>
  <c r="I83" i="18"/>
  <c r="E83" i="18"/>
  <c r="A33" i="18"/>
  <c r="H31" i="18"/>
  <c r="H30" i="18" s="1"/>
  <c r="G31" i="18"/>
  <c r="D31" i="18"/>
  <c r="D30" i="18" s="1"/>
  <c r="C31" i="18"/>
  <c r="C30" i="18" s="1"/>
  <c r="I29" i="18"/>
  <c r="E29" i="18"/>
  <c r="I28" i="18"/>
  <c r="E28" i="18"/>
  <c r="I27" i="18"/>
  <c r="E27" i="18"/>
  <c r="I26" i="18"/>
  <c r="E26" i="18"/>
  <c r="I25" i="18"/>
  <c r="E25" i="18"/>
  <c r="I24" i="18"/>
  <c r="E24" i="18"/>
  <c r="I23" i="18"/>
  <c r="E23" i="18"/>
  <c r="I22" i="18"/>
  <c r="E22" i="18"/>
  <c r="I21" i="18"/>
  <c r="E21" i="18"/>
  <c r="I20" i="18"/>
  <c r="E20" i="18"/>
  <c r="I19" i="18"/>
  <c r="E19" i="18"/>
  <c r="I18" i="18"/>
  <c r="E18" i="18"/>
  <c r="I17" i="18"/>
  <c r="E17" i="18"/>
  <c r="I16" i="18"/>
  <c r="E16" i="18"/>
  <c r="I15" i="18"/>
  <c r="E15" i="18"/>
  <c r="I14" i="18"/>
  <c r="E14" i="18"/>
  <c r="I13" i="18"/>
  <c r="E13" i="18"/>
  <c r="J12" i="18"/>
  <c r="F12" i="18"/>
  <c r="A7" i="18"/>
  <c r="A101" i="17"/>
  <c r="A99" i="17"/>
  <c r="A79" i="17"/>
  <c r="J82" i="17"/>
  <c r="F82" i="17"/>
  <c r="D82" i="17"/>
  <c r="J39" i="17"/>
  <c r="F39" i="17"/>
  <c r="D39" i="17"/>
  <c r="A100" i="17"/>
  <c r="A98" i="17"/>
  <c r="I96" i="17"/>
  <c r="E96" i="17"/>
  <c r="I95" i="17"/>
  <c r="E95" i="17"/>
  <c r="I94" i="17"/>
  <c r="E94" i="17"/>
  <c r="I93" i="17"/>
  <c r="E93" i="17"/>
  <c r="I92" i="17"/>
  <c r="E92" i="17"/>
  <c r="I91" i="17"/>
  <c r="E91" i="17"/>
  <c r="I90" i="17"/>
  <c r="E90" i="17"/>
  <c r="I89" i="17"/>
  <c r="E89" i="17"/>
  <c r="I88" i="17"/>
  <c r="E88" i="17"/>
  <c r="I87" i="17"/>
  <c r="E87" i="17"/>
  <c r="I86" i="17"/>
  <c r="E86" i="17"/>
  <c r="I85" i="17"/>
  <c r="E85" i="17"/>
  <c r="I84" i="17"/>
  <c r="E84" i="17"/>
  <c r="I83" i="17"/>
  <c r="E83" i="17"/>
  <c r="A33" i="17"/>
  <c r="I31" i="17"/>
  <c r="I29" i="17"/>
  <c r="E29" i="17"/>
  <c r="I28" i="17"/>
  <c r="E28" i="17"/>
  <c r="I27" i="17"/>
  <c r="E27" i="17"/>
  <c r="I26" i="17"/>
  <c r="E26" i="17"/>
  <c r="I25" i="17"/>
  <c r="E25" i="17"/>
  <c r="I24" i="17"/>
  <c r="E24" i="17"/>
  <c r="I23" i="17"/>
  <c r="E23" i="17"/>
  <c r="I22" i="17"/>
  <c r="E22" i="17"/>
  <c r="I21" i="17"/>
  <c r="E21" i="17"/>
  <c r="I20" i="17"/>
  <c r="E20" i="17"/>
  <c r="I19" i="17"/>
  <c r="E19" i="17"/>
  <c r="I18" i="17"/>
  <c r="E18" i="17"/>
  <c r="I17" i="17"/>
  <c r="E17" i="17"/>
  <c r="I16" i="17"/>
  <c r="E16" i="17"/>
  <c r="I15" i="17"/>
  <c r="E15" i="17"/>
  <c r="I14" i="17"/>
  <c r="E14" i="17"/>
  <c r="I13" i="17"/>
  <c r="E13" i="17"/>
  <c r="J12" i="17"/>
  <c r="F12" i="17"/>
  <c r="A7" i="17"/>
  <c r="A101" i="16"/>
  <c r="A99" i="16"/>
  <c r="A79" i="16"/>
  <c r="J82" i="16"/>
  <c r="F82" i="16"/>
  <c r="D82" i="16"/>
  <c r="C82" i="16"/>
  <c r="J39" i="16"/>
  <c r="F39" i="16"/>
  <c r="D39" i="16"/>
  <c r="C39" i="16"/>
  <c r="D12" i="16"/>
  <c r="C12" i="16"/>
  <c r="A9" i="16"/>
  <c r="A100" i="16"/>
  <c r="A98" i="16"/>
  <c r="I96" i="16"/>
  <c r="E96" i="16"/>
  <c r="I95" i="16"/>
  <c r="E95" i="16"/>
  <c r="I94" i="16"/>
  <c r="E94" i="16"/>
  <c r="I93" i="16"/>
  <c r="E93" i="16"/>
  <c r="I92" i="16"/>
  <c r="E92" i="16"/>
  <c r="I91" i="16"/>
  <c r="E91" i="16"/>
  <c r="I90" i="16"/>
  <c r="E90" i="16"/>
  <c r="I89" i="16"/>
  <c r="E89" i="16"/>
  <c r="I88" i="16"/>
  <c r="E88" i="16"/>
  <c r="I87" i="16"/>
  <c r="E87" i="16"/>
  <c r="I86" i="16"/>
  <c r="E86" i="16"/>
  <c r="I85" i="16"/>
  <c r="E85" i="16"/>
  <c r="I84" i="16"/>
  <c r="E84" i="16"/>
  <c r="I83" i="16"/>
  <c r="E83" i="16"/>
  <c r="A33" i="16"/>
  <c r="I29" i="16"/>
  <c r="E29" i="16"/>
  <c r="I28" i="16"/>
  <c r="E28" i="16"/>
  <c r="I27" i="16"/>
  <c r="E27" i="16"/>
  <c r="I26" i="16"/>
  <c r="E26" i="16"/>
  <c r="I25" i="16"/>
  <c r="E25" i="16"/>
  <c r="I24" i="16"/>
  <c r="E24" i="16"/>
  <c r="I23" i="16"/>
  <c r="E23" i="16"/>
  <c r="I22" i="16"/>
  <c r="E22" i="16"/>
  <c r="I21" i="16"/>
  <c r="E21" i="16"/>
  <c r="I20" i="16"/>
  <c r="E20" i="16"/>
  <c r="I19" i="16"/>
  <c r="E19" i="16"/>
  <c r="I18" i="16"/>
  <c r="E18" i="16"/>
  <c r="I17" i="16"/>
  <c r="E17" i="16"/>
  <c r="I16" i="16"/>
  <c r="E16" i="16"/>
  <c r="I15" i="16"/>
  <c r="E15" i="16"/>
  <c r="I14" i="16"/>
  <c r="E14" i="16"/>
  <c r="I13" i="16"/>
  <c r="E13" i="16"/>
  <c r="J12" i="16"/>
  <c r="F12" i="16"/>
  <c r="A7" i="16"/>
  <c r="A101" i="15"/>
  <c r="A99" i="15"/>
  <c r="J82" i="15"/>
  <c r="F82" i="15"/>
  <c r="J39" i="15"/>
  <c r="F39" i="15"/>
  <c r="A100" i="15"/>
  <c r="A98" i="15"/>
  <c r="I96" i="15"/>
  <c r="E96" i="15"/>
  <c r="I95" i="15"/>
  <c r="E95" i="15"/>
  <c r="I94" i="15"/>
  <c r="E94" i="15"/>
  <c r="I93" i="15"/>
  <c r="E93" i="15"/>
  <c r="I92" i="15"/>
  <c r="E92" i="15"/>
  <c r="I91" i="15"/>
  <c r="E91" i="15"/>
  <c r="I90" i="15"/>
  <c r="E90" i="15"/>
  <c r="I89" i="15"/>
  <c r="E89" i="15"/>
  <c r="I88" i="15"/>
  <c r="E88" i="15"/>
  <c r="I87" i="15"/>
  <c r="E87" i="15"/>
  <c r="I86" i="15"/>
  <c r="E86" i="15"/>
  <c r="I85" i="15"/>
  <c r="E85" i="15"/>
  <c r="I84" i="15"/>
  <c r="E84" i="15"/>
  <c r="I83" i="15"/>
  <c r="E83" i="15"/>
  <c r="A33" i="15"/>
  <c r="I29" i="15"/>
  <c r="E29" i="15"/>
  <c r="I28" i="15"/>
  <c r="E28" i="15"/>
  <c r="I27" i="15"/>
  <c r="E27" i="15"/>
  <c r="I26" i="15"/>
  <c r="E26" i="15"/>
  <c r="I25" i="15"/>
  <c r="E25" i="15"/>
  <c r="I24" i="15"/>
  <c r="E24" i="15"/>
  <c r="I23" i="15"/>
  <c r="E23" i="15"/>
  <c r="I22" i="15"/>
  <c r="E22" i="15"/>
  <c r="I21" i="15"/>
  <c r="E21" i="15"/>
  <c r="I20" i="15"/>
  <c r="E20" i="15"/>
  <c r="I19" i="15"/>
  <c r="E19" i="15"/>
  <c r="I18" i="15"/>
  <c r="E18" i="15"/>
  <c r="I17" i="15"/>
  <c r="E17" i="15"/>
  <c r="I16" i="15"/>
  <c r="E16" i="15"/>
  <c r="I15" i="15"/>
  <c r="E15" i="15"/>
  <c r="I14" i="15"/>
  <c r="E14" i="15"/>
  <c r="I13" i="15"/>
  <c r="E13" i="15"/>
  <c r="J12" i="15"/>
  <c r="F12" i="15"/>
  <c r="A7" i="15"/>
  <c r="A101" i="14"/>
  <c r="A99" i="14"/>
  <c r="A79" i="14"/>
  <c r="A36" i="14"/>
  <c r="J82" i="14"/>
  <c r="F82" i="14"/>
  <c r="J39" i="14"/>
  <c r="F39" i="14"/>
  <c r="A9" i="14"/>
  <c r="A100" i="14"/>
  <c r="A98" i="14"/>
  <c r="I96" i="14"/>
  <c r="E96" i="14"/>
  <c r="I95" i="14"/>
  <c r="E95" i="14"/>
  <c r="I94" i="14"/>
  <c r="E94" i="14"/>
  <c r="I93" i="14"/>
  <c r="E93" i="14"/>
  <c r="I92" i="14"/>
  <c r="E92" i="14"/>
  <c r="I91" i="14"/>
  <c r="E91" i="14"/>
  <c r="I90" i="14"/>
  <c r="E90" i="14"/>
  <c r="I89" i="14"/>
  <c r="E89" i="14"/>
  <c r="I88" i="14"/>
  <c r="E88" i="14"/>
  <c r="I87" i="14"/>
  <c r="E87" i="14"/>
  <c r="I86" i="14"/>
  <c r="E86" i="14"/>
  <c r="I85" i="14"/>
  <c r="E85" i="14"/>
  <c r="I84" i="14"/>
  <c r="E84" i="14"/>
  <c r="I83" i="14"/>
  <c r="E83" i="14"/>
  <c r="A33" i="14"/>
  <c r="I29" i="14"/>
  <c r="E29" i="14"/>
  <c r="I28" i="14"/>
  <c r="E28" i="14"/>
  <c r="I27" i="14"/>
  <c r="E27" i="14"/>
  <c r="I26" i="14"/>
  <c r="E26" i="14"/>
  <c r="I25" i="14"/>
  <c r="E25" i="14"/>
  <c r="I24" i="14"/>
  <c r="E24" i="14"/>
  <c r="I23" i="14"/>
  <c r="E23" i="14"/>
  <c r="I22" i="14"/>
  <c r="E22" i="14"/>
  <c r="I21" i="14"/>
  <c r="E21" i="14"/>
  <c r="I20" i="14"/>
  <c r="E20" i="14"/>
  <c r="I19" i="14"/>
  <c r="E19" i="14"/>
  <c r="I18" i="14"/>
  <c r="E18" i="14"/>
  <c r="I17" i="14"/>
  <c r="E17" i="14"/>
  <c r="I16" i="14"/>
  <c r="E16" i="14"/>
  <c r="I15" i="14"/>
  <c r="E15" i="14"/>
  <c r="I14" i="14"/>
  <c r="E14" i="14"/>
  <c r="I13" i="14"/>
  <c r="E13" i="14"/>
  <c r="J12" i="14"/>
  <c r="F12" i="14"/>
  <c r="A7" i="14"/>
  <c r="A101" i="13"/>
  <c r="A99" i="13"/>
  <c r="A36" i="13"/>
  <c r="J82" i="13"/>
  <c r="F82" i="13"/>
  <c r="D82" i="13"/>
  <c r="J39" i="13"/>
  <c r="F39" i="13"/>
  <c r="D39" i="13"/>
  <c r="D12" i="13"/>
  <c r="A9" i="13"/>
  <c r="A100" i="13"/>
  <c r="A98" i="13"/>
  <c r="I96" i="13"/>
  <c r="E96" i="13"/>
  <c r="I95" i="13"/>
  <c r="E95" i="13"/>
  <c r="I94" i="13"/>
  <c r="E94" i="13"/>
  <c r="I93" i="13"/>
  <c r="E93" i="13"/>
  <c r="I92" i="13"/>
  <c r="E92" i="13"/>
  <c r="I91" i="13"/>
  <c r="E91" i="13"/>
  <c r="I90" i="13"/>
  <c r="E90" i="13"/>
  <c r="I89" i="13"/>
  <c r="E89" i="13"/>
  <c r="I88" i="13"/>
  <c r="E88" i="13"/>
  <c r="I87" i="13"/>
  <c r="E87" i="13"/>
  <c r="I86" i="13"/>
  <c r="E86" i="13"/>
  <c r="I85" i="13"/>
  <c r="E85" i="13"/>
  <c r="I84" i="13"/>
  <c r="E84" i="13"/>
  <c r="I83" i="13"/>
  <c r="E83" i="13"/>
  <c r="A33" i="13"/>
  <c r="I29" i="13"/>
  <c r="E29" i="13"/>
  <c r="I28" i="13"/>
  <c r="E28" i="13"/>
  <c r="I27" i="13"/>
  <c r="E27" i="13"/>
  <c r="I26" i="13"/>
  <c r="E26" i="13"/>
  <c r="I25" i="13"/>
  <c r="E25" i="13"/>
  <c r="I24" i="13"/>
  <c r="E24" i="13"/>
  <c r="I23" i="13"/>
  <c r="E23" i="13"/>
  <c r="I22" i="13"/>
  <c r="E22" i="13"/>
  <c r="I21" i="13"/>
  <c r="E21" i="13"/>
  <c r="I20" i="13"/>
  <c r="E20" i="13"/>
  <c r="I19" i="13"/>
  <c r="E19" i="13"/>
  <c r="I18" i="13"/>
  <c r="E18" i="13"/>
  <c r="I17" i="13"/>
  <c r="E17" i="13"/>
  <c r="I16" i="13"/>
  <c r="E16" i="13"/>
  <c r="I15" i="13"/>
  <c r="E15" i="13"/>
  <c r="I14" i="13"/>
  <c r="E14" i="13"/>
  <c r="I13" i="13"/>
  <c r="E13" i="13"/>
  <c r="J12" i="13"/>
  <c r="F12" i="13"/>
  <c r="A7" i="13"/>
  <c r="A101" i="12"/>
  <c r="A100" i="12"/>
  <c r="A99" i="12"/>
  <c r="J82" i="12"/>
  <c r="F82" i="12"/>
  <c r="J39" i="12"/>
  <c r="F39" i="12"/>
  <c r="A98" i="12"/>
  <c r="I96" i="12"/>
  <c r="E96" i="12"/>
  <c r="I95" i="12"/>
  <c r="E95" i="12"/>
  <c r="I94" i="12"/>
  <c r="E94" i="12"/>
  <c r="I93" i="12"/>
  <c r="E93" i="12"/>
  <c r="I92" i="12"/>
  <c r="E92" i="12"/>
  <c r="I91" i="12"/>
  <c r="E91" i="12"/>
  <c r="I90" i="12"/>
  <c r="E90" i="12"/>
  <c r="I89" i="12"/>
  <c r="E89" i="12"/>
  <c r="I88" i="12"/>
  <c r="E88" i="12"/>
  <c r="I87" i="12"/>
  <c r="E87" i="12"/>
  <c r="I86" i="12"/>
  <c r="E86" i="12"/>
  <c r="I85" i="12"/>
  <c r="E85" i="12"/>
  <c r="I84" i="12"/>
  <c r="E84" i="12"/>
  <c r="I83" i="12"/>
  <c r="E83" i="12"/>
  <c r="A33" i="12"/>
  <c r="I29" i="12"/>
  <c r="E29" i="12"/>
  <c r="I28" i="12"/>
  <c r="E28" i="12"/>
  <c r="I27" i="12"/>
  <c r="E27" i="12"/>
  <c r="I26" i="12"/>
  <c r="E26" i="12"/>
  <c r="I25" i="12"/>
  <c r="E25" i="12"/>
  <c r="I24" i="12"/>
  <c r="E24" i="12"/>
  <c r="I23" i="12"/>
  <c r="E23" i="12"/>
  <c r="I22" i="12"/>
  <c r="E22" i="12"/>
  <c r="I21" i="12"/>
  <c r="E21" i="12"/>
  <c r="I20" i="12"/>
  <c r="E20" i="12"/>
  <c r="I19" i="12"/>
  <c r="E19" i="12"/>
  <c r="I18" i="12"/>
  <c r="E18" i="12"/>
  <c r="I17" i="12"/>
  <c r="E17" i="12"/>
  <c r="I16" i="12"/>
  <c r="E16" i="12"/>
  <c r="I15" i="12"/>
  <c r="E15" i="12"/>
  <c r="I14" i="12"/>
  <c r="E14" i="12"/>
  <c r="I13" i="12"/>
  <c r="E13" i="12"/>
  <c r="J12" i="12"/>
  <c r="F12" i="12"/>
  <c r="A7" i="12"/>
  <c r="A101" i="11"/>
  <c r="A99" i="11"/>
  <c r="J82" i="11"/>
  <c r="F82" i="11"/>
  <c r="J39" i="11"/>
  <c r="F39" i="11"/>
  <c r="A100" i="11"/>
  <c r="A98" i="11"/>
  <c r="I96" i="11"/>
  <c r="E96" i="11"/>
  <c r="I95" i="11"/>
  <c r="E95" i="11"/>
  <c r="I94" i="11"/>
  <c r="E94" i="11"/>
  <c r="I93" i="11"/>
  <c r="E93" i="11"/>
  <c r="I92" i="11"/>
  <c r="E92" i="11"/>
  <c r="I91" i="11"/>
  <c r="E91" i="11"/>
  <c r="I90" i="11"/>
  <c r="E90" i="11"/>
  <c r="I89" i="11"/>
  <c r="E89" i="11"/>
  <c r="I88" i="11"/>
  <c r="E88" i="11"/>
  <c r="I87" i="11"/>
  <c r="E87" i="11"/>
  <c r="I86" i="11"/>
  <c r="E86" i="11"/>
  <c r="I85" i="11"/>
  <c r="E85" i="11"/>
  <c r="I84" i="11"/>
  <c r="E84" i="11"/>
  <c r="I83" i="11"/>
  <c r="E83" i="11"/>
  <c r="A33" i="11"/>
  <c r="I31" i="11"/>
  <c r="I29" i="11"/>
  <c r="E29" i="11"/>
  <c r="I28" i="11"/>
  <c r="E28" i="11"/>
  <c r="I27" i="11"/>
  <c r="E27" i="11"/>
  <c r="I26" i="11"/>
  <c r="E26" i="11"/>
  <c r="I25" i="11"/>
  <c r="E25" i="11"/>
  <c r="I24" i="11"/>
  <c r="E24" i="11"/>
  <c r="I23" i="11"/>
  <c r="E23" i="11"/>
  <c r="I22" i="11"/>
  <c r="E22" i="11"/>
  <c r="I21" i="11"/>
  <c r="E21" i="11"/>
  <c r="I20" i="11"/>
  <c r="E20" i="11"/>
  <c r="I19" i="11"/>
  <c r="E19" i="11"/>
  <c r="I18" i="11"/>
  <c r="E18" i="11"/>
  <c r="I17" i="11"/>
  <c r="E17" i="11"/>
  <c r="I16" i="11"/>
  <c r="E16" i="11"/>
  <c r="I15" i="11"/>
  <c r="E15" i="11"/>
  <c r="I14" i="11"/>
  <c r="E14" i="11"/>
  <c r="I13" i="11"/>
  <c r="E13" i="11"/>
  <c r="J12" i="11"/>
  <c r="F12" i="11"/>
  <c r="A7" i="11"/>
  <c r="J82" i="10"/>
  <c r="F82" i="10"/>
  <c r="J39" i="10"/>
  <c r="F39" i="10"/>
  <c r="I96" i="10"/>
  <c r="E96" i="10"/>
  <c r="I95" i="10"/>
  <c r="E95" i="10"/>
  <c r="I94" i="10"/>
  <c r="E94" i="10"/>
  <c r="I93" i="10"/>
  <c r="E93" i="10"/>
  <c r="I92" i="10"/>
  <c r="E92" i="10"/>
  <c r="I91" i="10"/>
  <c r="E91" i="10"/>
  <c r="I90" i="10"/>
  <c r="E90" i="10"/>
  <c r="I89" i="10"/>
  <c r="E89" i="10"/>
  <c r="I88" i="10"/>
  <c r="E88" i="10"/>
  <c r="I87" i="10"/>
  <c r="E87" i="10"/>
  <c r="I86" i="10"/>
  <c r="E86" i="10"/>
  <c r="I85" i="10"/>
  <c r="E85" i="10"/>
  <c r="I84" i="10"/>
  <c r="E84" i="10"/>
  <c r="I83" i="10"/>
  <c r="E83" i="10"/>
  <c r="A33" i="10"/>
  <c r="I29" i="10"/>
  <c r="E29" i="10"/>
  <c r="I28" i="10"/>
  <c r="E28" i="10"/>
  <c r="I27" i="10"/>
  <c r="E27" i="10"/>
  <c r="I25" i="10"/>
  <c r="E25" i="10"/>
  <c r="I24" i="10"/>
  <c r="E24" i="10"/>
  <c r="I23" i="10"/>
  <c r="E23" i="10"/>
  <c r="I22" i="10"/>
  <c r="E22" i="10"/>
  <c r="I21" i="10"/>
  <c r="E21" i="10"/>
  <c r="I20" i="10"/>
  <c r="E20" i="10"/>
  <c r="I19" i="10"/>
  <c r="E19" i="10"/>
  <c r="I18" i="10"/>
  <c r="E18" i="10"/>
  <c r="I17" i="10"/>
  <c r="E17" i="10"/>
  <c r="I16" i="10"/>
  <c r="E16" i="10"/>
  <c r="I15" i="10"/>
  <c r="E15" i="10"/>
  <c r="I14" i="10"/>
  <c r="E14" i="10"/>
  <c r="I13" i="10"/>
  <c r="E13" i="10"/>
  <c r="J12" i="10"/>
  <c r="F12" i="10"/>
  <c r="A7" i="10"/>
  <c r="A101" i="9"/>
  <c r="A99" i="9"/>
  <c r="J82" i="9"/>
  <c r="F82" i="9"/>
  <c r="J39" i="9"/>
  <c r="F39" i="9"/>
  <c r="A100" i="9"/>
  <c r="A98" i="9"/>
  <c r="I96" i="9"/>
  <c r="E96" i="9"/>
  <c r="I95" i="9"/>
  <c r="E95" i="9"/>
  <c r="I94" i="9"/>
  <c r="E94" i="9"/>
  <c r="I93" i="9"/>
  <c r="E93" i="9"/>
  <c r="I92" i="9"/>
  <c r="E92" i="9"/>
  <c r="I91" i="9"/>
  <c r="E91" i="9"/>
  <c r="I90" i="9"/>
  <c r="E90" i="9"/>
  <c r="I89" i="9"/>
  <c r="E89" i="9"/>
  <c r="I88" i="9"/>
  <c r="E88" i="9"/>
  <c r="I87" i="9"/>
  <c r="E87" i="9"/>
  <c r="I86" i="9"/>
  <c r="E86" i="9"/>
  <c r="I85" i="9"/>
  <c r="E85" i="9"/>
  <c r="I84" i="9"/>
  <c r="E84" i="9"/>
  <c r="I83" i="9"/>
  <c r="E83" i="9"/>
  <c r="A33" i="9"/>
  <c r="I29" i="9"/>
  <c r="E29" i="9"/>
  <c r="I28" i="9"/>
  <c r="E28" i="9"/>
  <c r="I27" i="9"/>
  <c r="E27" i="9"/>
  <c r="I23" i="9"/>
  <c r="E23" i="9"/>
  <c r="I22" i="9"/>
  <c r="E22" i="9"/>
  <c r="I21" i="9"/>
  <c r="E21" i="9"/>
  <c r="I20" i="9"/>
  <c r="E20" i="9"/>
  <c r="I19" i="9"/>
  <c r="E19" i="9"/>
  <c r="I18" i="9"/>
  <c r="E18" i="9"/>
  <c r="I17" i="9"/>
  <c r="E17" i="9"/>
  <c r="I16" i="9"/>
  <c r="E16" i="9"/>
  <c r="I15" i="9"/>
  <c r="E15" i="9"/>
  <c r="I14" i="9"/>
  <c r="E14" i="9"/>
  <c r="I13" i="9"/>
  <c r="E13" i="9"/>
  <c r="J12" i="9"/>
  <c r="F12" i="9"/>
  <c r="A7" i="9"/>
  <c r="A101" i="7"/>
  <c r="A99" i="7"/>
  <c r="A36" i="7"/>
  <c r="J82" i="7"/>
  <c r="F82" i="7"/>
  <c r="J39" i="7"/>
  <c r="F39" i="7"/>
  <c r="J12" i="7"/>
  <c r="F12" i="7"/>
  <c r="D12" i="7"/>
  <c r="A7" i="7"/>
  <c r="A9" i="7"/>
  <c r="A100" i="7"/>
  <c r="A98" i="7"/>
  <c r="I96" i="7"/>
  <c r="E96" i="7"/>
  <c r="I95" i="7"/>
  <c r="E95" i="7"/>
  <c r="I94" i="7"/>
  <c r="E94" i="7"/>
  <c r="I93" i="7"/>
  <c r="E93" i="7"/>
  <c r="I92" i="7"/>
  <c r="E92" i="7"/>
  <c r="I91" i="7"/>
  <c r="E91" i="7"/>
  <c r="I90" i="7"/>
  <c r="E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A33" i="7"/>
  <c r="I74" i="7"/>
  <c r="E74" i="7"/>
  <c r="I72" i="7"/>
  <c r="I70" i="7"/>
  <c r="E70" i="7"/>
  <c r="I69" i="7"/>
  <c r="E69" i="7"/>
  <c r="I68" i="7"/>
  <c r="E68" i="7"/>
  <c r="I67" i="7"/>
  <c r="E67" i="7"/>
  <c r="I66" i="7"/>
  <c r="E66" i="7"/>
  <c r="I63" i="7"/>
  <c r="E63" i="7"/>
  <c r="I62" i="7"/>
  <c r="E62" i="7"/>
  <c r="I61" i="7"/>
  <c r="E61" i="7"/>
  <c r="I44" i="7"/>
  <c r="E44" i="7"/>
  <c r="I43" i="7"/>
  <c r="E43" i="7"/>
  <c r="I42" i="7"/>
  <c r="E42" i="7"/>
  <c r="I41" i="7"/>
  <c r="E41" i="7"/>
  <c r="I40" i="7"/>
  <c r="E40" i="7"/>
  <c r="I29" i="7"/>
  <c r="E29" i="7"/>
  <c r="I28" i="7"/>
  <c r="E28" i="7"/>
  <c r="I27" i="7"/>
  <c r="E27" i="7"/>
  <c r="I26" i="7"/>
  <c r="E26" i="7"/>
  <c r="I25" i="7"/>
  <c r="E25" i="7"/>
  <c r="I24" i="7"/>
  <c r="E24" i="7"/>
  <c r="I23" i="7"/>
  <c r="E23" i="7"/>
  <c r="I22" i="7"/>
  <c r="E22" i="7"/>
  <c r="I21" i="7"/>
  <c r="E21" i="7"/>
  <c r="I20" i="7"/>
  <c r="E20" i="7"/>
  <c r="I19" i="7"/>
  <c r="E19" i="7"/>
  <c r="I18" i="7"/>
  <c r="E18" i="7"/>
  <c r="I17" i="7"/>
  <c r="E17" i="7"/>
  <c r="I16" i="7"/>
  <c r="E16" i="7"/>
  <c r="I15" i="7"/>
  <c r="E15" i="7"/>
  <c r="I14" i="7"/>
  <c r="E14" i="7"/>
  <c r="I13" i="7"/>
  <c r="E13" i="7"/>
  <c r="A9" i="12" l="1"/>
  <c r="I31" i="18"/>
  <c r="A36" i="9"/>
  <c r="A36" i="12"/>
  <c r="C12" i="7"/>
  <c r="A36" i="16"/>
  <c r="C39" i="7"/>
  <c r="D39" i="7"/>
  <c r="A9" i="9"/>
  <c r="C82" i="18"/>
  <c r="A36" i="11"/>
  <c r="A9" i="10"/>
  <c r="I31" i="7"/>
  <c r="I31" i="10"/>
  <c r="I31" i="16"/>
  <c r="G30" i="18"/>
  <c r="I30" i="16"/>
  <c r="I31" i="15"/>
  <c r="I31" i="14"/>
  <c r="I30" i="14"/>
  <c r="I31" i="13"/>
  <c r="I30" i="13"/>
  <c r="I31" i="12"/>
  <c r="I30" i="10"/>
  <c r="I31" i="9"/>
  <c r="I30" i="9"/>
  <c r="I30" i="7"/>
  <c r="C12" i="12"/>
  <c r="C39" i="12"/>
  <c r="C12" i="14"/>
  <c r="C39" i="14"/>
  <c r="D39" i="15"/>
  <c r="D12" i="11"/>
  <c r="D147" i="5"/>
  <c r="C82" i="13"/>
  <c r="E146" i="5"/>
  <c r="C12" i="13"/>
  <c r="C146" i="5"/>
  <c r="E105" i="5"/>
  <c r="D118" i="5"/>
  <c r="E161" i="5"/>
  <c r="C39" i="11"/>
  <c r="D104" i="5"/>
  <c r="D119" i="5"/>
  <c r="D105" i="5"/>
  <c r="D160" i="5"/>
  <c r="C160" i="5"/>
  <c r="G82" i="12" s="1"/>
  <c r="C82" i="9"/>
  <c r="C82" i="10"/>
  <c r="C119" i="5"/>
  <c r="H12" i="9" s="1"/>
  <c r="D146" i="5"/>
  <c r="E147" i="5"/>
  <c r="C161" i="5"/>
  <c r="D161" i="5"/>
  <c r="C12" i="9"/>
  <c r="C82" i="11"/>
  <c r="D203" i="5"/>
  <c r="D217" i="5"/>
  <c r="D82" i="9"/>
  <c r="D39" i="12"/>
  <c r="D12" i="9"/>
  <c r="C12" i="10"/>
  <c r="C202" i="5"/>
  <c r="D12" i="12"/>
  <c r="C175" i="5"/>
  <c r="H39" i="13" s="1"/>
  <c r="D39" i="11"/>
  <c r="H12" i="12"/>
  <c r="D82" i="10"/>
  <c r="D12" i="10"/>
  <c r="C12" i="15"/>
  <c r="C82" i="15"/>
  <c r="E132" i="5"/>
  <c r="E189" i="5"/>
  <c r="C216" i="5"/>
  <c r="D12" i="15"/>
  <c r="C245" i="5"/>
  <c r="H39" i="18" s="1"/>
  <c r="D175" i="5"/>
  <c r="D188" i="5"/>
  <c r="E202" i="5"/>
  <c r="C105" i="5"/>
  <c r="E104" i="5"/>
  <c r="C118" i="5"/>
  <c r="E160" i="5"/>
  <c r="C174" i="5"/>
  <c r="C12" i="17"/>
  <c r="E188" i="5"/>
  <c r="C203" i="5"/>
  <c r="E231" i="5"/>
  <c r="C244" i="5"/>
  <c r="D245" i="5"/>
  <c r="C82" i="17"/>
  <c r="H12" i="18"/>
  <c r="C147" i="5"/>
  <c r="D132" i="5"/>
  <c r="E133" i="5"/>
  <c r="C188" i="5"/>
  <c r="D189" i="5"/>
  <c r="D230" i="5"/>
  <c r="D12" i="14"/>
  <c r="E118" i="5"/>
  <c r="C132" i="5"/>
  <c r="D133" i="5"/>
  <c r="E174" i="5"/>
  <c r="C189" i="5"/>
  <c r="E216" i="5"/>
  <c r="C230" i="5"/>
  <c r="D231" i="5"/>
  <c r="G82" i="11"/>
  <c r="C104" i="5"/>
  <c r="E119" i="5"/>
  <c r="C133" i="5"/>
  <c r="D174" i="5"/>
  <c r="E175" i="5"/>
  <c r="D216" i="5"/>
  <c r="E217" i="5"/>
  <c r="C231" i="5"/>
  <c r="D82" i="14"/>
  <c r="D202" i="5"/>
  <c r="E203" i="5"/>
  <c r="C217" i="5"/>
  <c r="E245" i="5"/>
  <c r="E230" i="5"/>
  <c r="D244" i="5"/>
  <c r="E244" i="5"/>
  <c r="C39" i="18"/>
  <c r="D17" i="5"/>
  <c r="E13" i="5"/>
  <c r="D13" i="5"/>
  <c r="E17" i="5"/>
  <c r="E82" i="17"/>
  <c r="E39" i="17"/>
  <c r="E82" i="18"/>
  <c r="E39" i="18"/>
  <c r="E82" i="16"/>
  <c r="E39" i="16"/>
  <c r="E82" i="15"/>
  <c r="E39" i="15"/>
  <c r="E82" i="14"/>
  <c r="E39" i="14"/>
  <c r="E82" i="13"/>
  <c r="E39" i="13"/>
  <c r="E82" i="11"/>
  <c r="E39" i="11"/>
  <c r="E82" i="10"/>
  <c r="E39" i="10"/>
  <c r="E82" i="9"/>
  <c r="E39" i="9"/>
  <c r="E82" i="7"/>
  <c r="E39" i="7"/>
  <c r="E12" i="7"/>
  <c r="E12" i="17"/>
  <c r="E12" i="14"/>
  <c r="E12" i="11"/>
  <c r="E82" i="12"/>
  <c r="E39" i="12"/>
  <c r="E12" i="16"/>
  <c r="E12" i="13"/>
  <c r="E12" i="10"/>
  <c r="E12" i="18"/>
  <c r="E12" i="9"/>
  <c r="E12" i="15"/>
  <c r="E12" i="12"/>
  <c r="C17" i="5"/>
  <c r="I30" i="11"/>
  <c r="I30" i="12"/>
  <c r="I30" i="17"/>
  <c r="E30" i="10"/>
  <c r="E30" i="7"/>
  <c r="E30" i="11"/>
  <c r="E31" i="16"/>
  <c r="E30" i="18"/>
  <c r="E31" i="11"/>
  <c r="E30" i="12"/>
  <c r="I30" i="15"/>
  <c r="E31" i="12"/>
  <c r="E31" i="13"/>
  <c r="E30" i="9"/>
  <c r="E31" i="14"/>
  <c r="E30" i="16"/>
  <c r="I30" i="18"/>
  <c r="E31" i="18"/>
  <c r="E30" i="17"/>
  <c r="E31" i="17"/>
  <c r="E30" i="15"/>
  <c r="E31" i="15"/>
  <c r="E30" i="14"/>
  <c r="E30" i="13"/>
  <c r="E31" i="10"/>
  <c r="E31" i="9"/>
  <c r="E31" i="7"/>
  <c r="G39" i="12" l="1"/>
  <c r="H82" i="9"/>
  <c r="G12" i="12"/>
  <c r="H39" i="9"/>
  <c r="G39" i="11"/>
  <c r="G12" i="11"/>
  <c r="H82" i="12"/>
  <c r="H39" i="12"/>
  <c r="H12" i="13"/>
  <c r="H82" i="13"/>
  <c r="G82" i="15"/>
  <c r="G39" i="15"/>
  <c r="G12" i="15"/>
  <c r="H82" i="18"/>
  <c r="G12" i="9"/>
  <c r="G39" i="9"/>
  <c r="G82" i="9"/>
  <c r="G82" i="16"/>
  <c r="G12" i="16"/>
  <c r="G39" i="16"/>
  <c r="H12" i="7"/>
  <c r="H39" i="7"/>
  <c r="H82" i="7"/>
  <c r="G12" i="13"/>
  <c r="G82" i="13"/>
  <c r="G39" i="13"/>
  <c r="G39" i="17"/>
  <c r="G82" i="17"/>
  <c r="G12" i="17"/>
  <c r="H39" i="16"/>
  <c r="H12" i="16"/>
  <c r="H82" i="16"/>
  <c r="G39" i="18"/>
  <c r="G82" i="18"/>
  <c r="G12" i="18"/>
  <c r="H39" i="10"/>
  <c r="H82" i="10"/>
  <c r="H12" i="10"/>
  <c r="H12" i="14"/>
  <c r="H39" i="14"/>
  <c r="H82" i="14"/>
  <c r="G82" i="14"/>
  <c r="G12" i="14"/>
  <c r="G39" i="14"/>
  <c r="H12" i="15"/>
  <c r="H39" i="15"/>
  <c r="H82" i="15"/>
  <c r="G12" i="7"/>
  <c r="G39" i="7"/>
  <c r="G82" i="7"/>
  <c r="H82" i="17"/>
  <c r="H12" i="17"/>
  <c r="H39" i="17"/>
  <c r="G39" i="10"/>
  <c r="G82" i="10"/>
  <c r="G12" i="10"/>
  <c r="H39" i="11"/>
  <c r="H82" i="11"/>
  <c r="H12" i="11"/>
  <c r="I12" i="18"/>
  <c r="I82" i="17"/>
  <c r="I39" i="17"/>
  <c r="I12" i="17"/>
  <c r="I12" i="16"/>
  <c r="I12" i="15"/>
  <c r="I12" i="14"/>
  <c r="I12" i="13"/>
  <c r="I12" i="12"/>
  <c r="I12" i="11"/>
  <c r="I12" i="10"/>
  <c r="I12" i="9"/>
  <c r="I12" i="7"/>
  <c r="I82" i="7"/>
  <c r="I82" i="18"/>
  <c r="I39" i="18"/>
  <c r="I82" i="16"/>
  <c r="I39" i="16"/>
  <c r="I82" i="15"/>
  <c r="I39" i="15"/>
  <c r="I82" i="14"/>
  <c r="I39" i="14"/>
  <c r="I82" i="13"/>
  <c r="I39" i="13"/>
  <c r="I82" i="11"/>
  <c r="I39" i="11"/>
  <c r="I82" i="10"/>
  <c r="I39" i="10"/>
  <c r="I82" i="9"/>
  <c r="I39" i="9"/>
  <c r="I39" i="7"/>
  <c r="I82" i="12"/>
  <c r="I39" i="12"/>
  <c r="A101" i="6"/>
  <c r="A100" i="6"/>
  <c r="A99" i="6"/>
  <c r="A98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F82" i="6"/>
  <c r="E82" i="6"/>
  <c r="D82" i="6"/>
  <c r="C82" i="6"/>
  <c r="A79" i="6"/>
  <c r="A33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F39" i="6"/>
  <c r="E39" i="6"/>
  <c r="D39" i="6"/>
  <c r="C39" i="6"/>
  <c r="A36" i="6"/>
  <c r="E30" i="6"/>
  <c r="A30" i="6"/>
  <c r="E29" i="6"/>
  <c r="A29" i="6"/>
  <c r="E28" i="6"/>
  <c r="A28" i="6"/>
  <c r="E27" i="6"/>
  <c r="A27" i="6"/>
  <c r="E26" i="6"/>
  <c r="A26" i="6"/>
  <c r="E25" i="6"/>
  <c r="A25" i="6"/>
  <c r="E24" i="6"/>
  <c r="A24" i="6"/>
  <c r="E23" i="6"/>
  <c r="A23" i="6"/>
  <c r="E22" i="6"/>
  <c r="A22" i="6"/>
  <c r="E21" i="6"/>
  <c r="A21" i="6"/>
  <c r="E20" i="6"/>
  <c r="A20" i="6"/>
  <c r="E19" i="6"/>
  <c r="A19" i="6"/>
  <c r="E18" i="6"/>
  <c r="A18" i="6"/>
  <c r="E17" i="6"/>
  <c r="A17" i="6"/>
  <c r="E16" i="6"/>
  <c r="A16" i="6"/>
  <c r="E15" i="6"/>
  <c r="A15" i="6"/>
  <c r="E14" i="6"/>
  <c r="A14" i="6"/>
  <c r="E13" i="6"/>
  <c r="A13" i="6"/>
  <c r="F12" i="6"/>
  <c r="E12" i="6"/>
  <c r="D12" i="6"/>
  <c r="C12" i="6"/>
  <c r="A9" i="6"/>
  <c r="A7" i="6"/>
  <c r="E31" i="6" l="1"/>
  <c r="E74" i="6"/>
</calcChain>
</file>

<file path=xl/sharedStrings.xml><?xml version="1.0" encoding="utf-8"?>
<sst xmlns="http://schemas.openxmlformats.org/spreadsheetml/2006/main" count="896" uniqueCount="657">
  <si>
    <t>Davos Klosters</t>
  </si>
  <si>
    <t>Flims Laax</t>
  </si>
  <si>
    <t>Chur</t>
  </si>
  <si>
    <t>Lenzerheide</t>
  </si>
  <si>
    <t>Prättigau</t>
  </si>
  <si>
    <t>Valposchiavo</t>
  </si>
  <si>
    <t>Viamala</t>
  </si>
  <si>
    <t>Bergün Filisur</t>
  </si>
  <si>
    <t>Disentis Sedrun</t>
  </si>
  <si>
    <t>Vals</t>
  </si>
  <si>
    <t>Graubünden</t>
  </si>
  <si>
    <t>San Bernardino, Mesolcina/Calanca</t>
  </si>
  <si>
    <t>Bündner Herrschaft</t>
  </si>
  <si>
    <t>Schweiz</t>
  </si>
  <si>
    <t>Deutschland</t>
  </si>
  <si>
    <t>Niederlande</t>
  </si>
  <si>
    <t>Italien</t>
  </si>
  <si>
    <t>Belgien</t>
  </si>
  <si>
    <t>Frankreich</t>
  </si>
  <si>
    <t>Österreich</t>
  </si>
  <si>
    <t>Japan</t>
  </si>
  <si>
    <t>Polen</t>
  </si>
  <si>
    <t>Brasilien</t>
  </si>
  <si>
    <t>Vereinigtes Königreich</t>
  </si>
  <si>
    <t>Arosa</t>
  </si>
  <si>
    <t>Surselva</t>
  </si>
  <si>
    <t>Bregaglia Engadin</t>
  </si>
  <si>
    <t>Engadin St. Moritz</t>
  </si>
  <si>
    <t>Scuol Samnaun Val Müstair</t>
  </si>
  <si>
    <t>Ostschweiz</t>
  </si>
  <si>
    <t>Genf</t>
  </si>
  <si>
    <t>Wallis</t>
  </si>
  <si>
    <t>Tessin</t>
  </si>
  <si>
    <t>Zürich Region</t>
  </si>
  <si>
    <t>Luzern / Vierwaldstättersee</t>
  </si>
  <si>
    <t>Basel Region</t>
  </si>
  <si>
    <t>Bern Region</t>
  </si>
  <si>
    <t>Jura &amp; Drei-Seen-Land</t>
  </si>
  <si>
    <t>Fribourg Region</t>
  </si>
  <si>
    <t>Aktuelle Zuordnung der politischen Gemeinden zu Destinationen:</t>
  </si>
  <si>
    <t>Vereinigte Staaten</t>
  </si>
  <si>
    <t>Waadt</t>
  </si>
  <si>
    <t>-</t>
  </si>
  <si>
    <t>Kontakt: Luzius Stricker, 081 257 23 74, luzius.stricker@awt.gr.ch</t>
  </si>
  <si>
    <t>Veränderung zum
5-Jahresmittel 
in %</t>
  </si>
  <si>
    <t>Val Surses</t>
  </si>
  <si>
    <t>Aargau und Solothurn Region</t>
  </si>
  <si>
    <t xml:space="preserve"> 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</si>
  <si>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</si>
  <si>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</si>
  <si>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</si>
  <si>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</si>
  <si>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</si>
  <si>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</si>
  <si>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</si>
  <si>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</si>
  <si>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</si>
  <si>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</si>
  <si>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</si>
  <si>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T1-2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</si>
  <si>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</si>
  <si>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</si>
  <si>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</si>
  <si>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</si>
  <si>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</si>
  <si>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</si>
  <si>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</si>
  <si>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</si>
  <si>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</si>
  <si>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</si>
  <si>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</si>
  <si>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</si>
  <si>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</si>
  <si>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</si>
  <si>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</si>
  <si>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</si>
  <si>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</si>
  <si>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</si>
  <si>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</si>
  <si>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</si>
  <si>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</si>
  <si>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</si>
  <si>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</si>
  <si>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</si>
  <si>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</si>
  <si>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</si>
  <si>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</si>
  <si>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</si>
  <si>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&lt;Zeilentitel_26&gt;</t>
  </si>
  <si>
    <t>&lt;Zeilentitel_27&gt;</t>
  </si>
  <si>
    <t>&lt;Legende_1&gt;</t>
  </si>
  <si>
    <t>&lt;Legende_2&gt;</t>
  </si>
  <si>
    <t>&lt;Legende_3&gt;</t>
  </si>
  <si>
    <t>&lt;Quelle_1&gt;</t>
  </si>
  <si>
    <t>&lt;Aktualisierung&gt;</t>
  </si>
  <si>
    <t>Quelle: BFS (HESTA)</t>
  </si>
  <si>
    <t>&lt;Titel1&gt;</t>
  </si>
  <si>
    <t>&lt;Titel2&gt;</t>
  </si>
  <si>
    <t>&lt;Titel3&gt;</t>
  </si>
  <si>
    <t>&lt;Zeilentitel_28&gt;</t>
  </si>
  <si>
    <t>&lt;Zeilentitel_29&gt;</t>
  </si>
  <si>
    <t>&lt;Zeilentitel_30&gt;</t>
  </si>
  <si>
    <t>&lt;Zeilentitel_31&gt;</t>
  </si>
  <si>
    <t>&lt;Zeilentitel_32&gt;</t>
  </si>
  <si>
    <t>&lt;Zeilentitel_33&gt;</t>
  </si>
  <si>
    <t>&lt;Zeilentitel_34&gt;</t>
  </si>
  <si>
    <t>&lt;Zeilentitel_35&gt;</t>
  </si>
  <si>
    <t>&lt;Zeilentitel_36&gt;</t>
  </si>
  <si>
    <t>&lt;Zeilentitel_37&gt;</t>
  </si>
  <si>
    <t>&lt;Zeilentitel_38&gt;</t>
  </si>
  <si>
    <t>&lt;Zeilentitel_39&gt;</t>
  </si>
  <si>
    <t>&lt;Zeilentitel_40&gt;</t>
  </si>
  <si>
    <t>&lt;Zeilentitel_41&gt;</t>
  </si>
  <si>
    <t>&lt;Zeilentitel_42&gt;</t>
  </si>
  <si>
    <t>&lt;Zeilentitel_43&gt;</t>
  </si>
  <si>
    <t>&lt;Zeilentitel_44&gt;</t>
  </si>
  <si>
    <t>&lt;Zeilentitel_48&gt;</t>
  </si>
  <si>
    <t>&lt;Zeilentitel_49&gt;</t>
  </si>
  <si>
    <t>&lt;Zeilentitel_50&gt;</t>
  </si>
  <si>
    <t>&lt;Zeilentitel_51&gt;</t>
  </si>
  <si>
    <t>&lt;Zeilentitel_52&gt;</t>
  </si>
  <si>
    <t>&lt;Zeilentitel_53&gt;</t>
  </si>
  <si>
    <t>&lt;Zeilentitel_54&gt;</t>
  </si>
  <si>
    <t>&lt;Zeilentitel_55&gt;</t>
  </si>
  <si>
    <t>&lt;Zeilentitel_56&gt;</t>
  </si>
  <si>
    <t>&lt;Zeilentitel_57&gt;</t>
  </si>
  <si>
    <t>&lt;SpaltenTitel_4&gt;</t>
  </si>
  <si>
    <t>&lt;SpaltenTitel_5&gt;</t>
  </si>
  <si>
    <t>&lt;SpaltenTitel_6&gt;</t>
  </si>
  <si>
    <t>&lt;SpaltenTitel_7&gt;</t>
  </si>
  <si>
    <t>&lt;SpaltenTitel_8&gt;</t>
  </si>
  <si>
    <t>Midada a la
media da 5 onns 
en %</t>
  </si>
  <si>
    <t>Variazione alla media quinquennale in %</t>
  </si>
  <si>
    <t>Attribuziun actuala da las vischnancas politicas a destinaziuns:</t>
  </si>
  <si>
    <t>Contact: Luzius Stricker, 081 257 23 74, luzius.stricker@awt.gr.ch</t>
  </si>
  <si>
    <t>Contatto: Luzius Stricker, 081 257 23 74, luzius.stricker@awt.gr.ch</t>
  </si>
  <si>
    <t>Attuale assegnazione dei comuni politici alle destinazioni:</t>
  </si>
  <si>
    <t>Svizra</t>
  </si>
  <si>
    <t>Germania</t>
  </si>
  <si>
    <t>Italia</t>
  </si>
  <si>
    <t>Frantscha</t>
  </si>
  <si>
    <t>Austria</t>
  </si>
  <si>
    <t>Pajais Bass</t>
  </si>
  <si>
    <t>Belgia</t>
  </si>
  <si>
    <t>Reginavel Unì</t>
  </si>
  <si>
    <t>Stadis Unids</t>
  </si>
  <si>
    <t>Pologna</t>
  </si>
  <si>
    <t>Giapun</t>
  </si>
  <si>
    <t xml:space="preserve">India </t>
  </si>
  <si>
    <t>Brasilia</t>
  </si>
  <si>
    <t>Grischun</t>
  </si>
  <si>
    <t>Svizzera</t>
  </si>
  <si>
    <t>Francia</t>
  </si>
  <si>
    <t>Paesi Bassi</t>
  </si>
  <si>
    <t>Belgio</t>
  </si>
  <si>
    <t>Regno Unito</t>
  </si>
  <si>
    <t>Stati Uniti</t>
  </si>
  <si>
    <t>Polonia</t>
  </si>
  <si>
    <t>Giappone</t>
  </si>
  <si>
    <t>Brasile</t>
  </si>
  <si>
    <t>Grigioni</t>
  </si>
  <si>
    <t xml:space="preserve">Arosa </t>
  </si>
  <si>
    <t>Bündner Herschaft</t>
  </si>
  <si>
    <t>Regiun Argovia e Solturn</t>
  </si>
  <si>
    <t>Regione Argovia e Soletta</t>
  </si>
  <si>
    <t>Regiun Basilea</t>
  </si>
  <si>
    <t>Regione Basilea</t>
  </si>
  <si>
    <t>Regiun Berna</t>
  </si>
  <si>
    <t>Regione Berna</t>
  </si>
  <si>
    <t>Regiun da Friburg</t>
  </si>
  <si>
    <t>Regione Friburgo</t>
  </si>
  <si>
    <t>Genevra</t>
  </si>
  <si>
    <t>Ginevra</t>
  </si>
  <si>
    <t>Giura &amp; Trais lais</t>
  </si>
  <si>
    <t>Giura &amp; Tre Laghi</t>
  </si>
  <si>
    <t>Lucerna / Lai dals Quatter Chantuns</t>
  </si>
  <si>
    <t>Lucerna / Lago dei Quattro Cantoni</t>
  </si>
  <si>
    <t>Svizra Orientala</t>
  </si>
  <si>
    <t>Svizzera orientale</t>
  </si>
  <si>
    <t>Ticino</t>
  </si>
  <si>
    <t>Vallais</t>
  </si>
  <si>
    <t>Vallese</t>
  </si>
  <si>
    <t>Vad</t>
  </si>
  <si>
    <t>Vaud</t>
  </si>
  <si>
    <t>Regiun da Turitg</t>
  </si>
  <si>
    <t>Regione Zurigo</t>
  </si>
  <si>
    <t>Destinationen/destinaziuns/destinazioni</t>
  </si>
  <si>
    <t>Funtauna: UST (HESTA)</t>
  </si>
  <si>
    <t>Fonte: UST (HESTA)</t>
  </si>
  <si>
    <t>T2</t>
  </si>
  <si>
    <t>&lt;T2Titel1&gt;</t>
  </si>
  <si>
    <t>&lt;T3Titel2&gt;</t>
  </si>
  <si>
    <t>&lt;T3Titel3&gt;</t>
  </si>
  <si>
    <t>&lt;T3SpaltenTitel_1&gt;</t>
  </si>
  <si>
    <t>&lt;T3SpaltenTitel_2&gt;</t>
  </si>
  <si>
    <t>&lt;T3SpaltenTitel_5&gt;</t>
  </si>
  <si>
    <t>&lt;T3SpaltenTitel_6&gt;</t>
  </si>
  <si>
    <t>&lt;T3Legende_3&gt;</t>
  </si>
  <si>
    <t>&lt;T3Aktualisierung&gt;</t>
  </si>
  <si>
    <t>&lt;T2Titel2&gt;</t>
  </si>
  <si>
    <t>&lt;T2Titel3&gt;</t>
  </si>
  <si>
    <t>&lt;T2SpaltenTitel_1&gt;</t>
  </si>
  <si>
    <t>&lt;T2SpaltenTitel_2&gt;</t>
  </si>
  <si>
    <t>&lt;T2SpaltenTitel_5&gt;</t>
  </si>
  <si>
    <t>&lt;T2SpaltenTitel_6&gt;</t>
  </si>
  <si>
    <t>&lt;T2Legende_3&gt;</t>
  </si>
  <si>
    <t>&lt;T2Aktualisierung&gt;</t>
  </si>
  <si>
    <t>&lt;T3Titel1&gt;</t>
  </si>
  <si>
    <t>T3</t>
  </si>
  <si>
    <t>T4</t>
  </si>
  <si>
    <t>&lt;T4Titel1&gt;</t>
  </si>
  <si>
    <t>&lt;T4Titel2&gt;</t>
  </si>
  <si>
    <t>&lt;T4Titel3&gt;</t>
  </si>
  <si>
    <t>&lt;T4SpaltenTitel_1&gt;</t>
  </si>
  <si>
    <t>&lt;T4SpaltenTitel_2&gt;</t>
  </si>
  <si>
    <t>&lt;T5SpaltenTitel_5&gt;</t>
  </si>
  <si>
    <t>&lt;T4SpaltenTitel_6&gt;</t>
  </si>
  <si>
    <t>&lt;T4SpaltenTitel_5&gt;</t>
  </si>
  <si>
    <t>&lt;T4Legende_3&gt;</t>
  </si>
  <si>
    <t>&lt;T4Aktualisierung&gt;</t>
  </si>
  <si>
    <t>T5</t>
  </si>
  <si>
    <t>&lt;T5Titel1&gt;</t>
  </si>
  <si>
    <t>&lt;T5Titel2&gt;</t>
  </si>
  <si>
    <t>&lt;T5Titel3&gt;</t>
  </si>
  <si>
    <t>&lt;T5SpaltenTitel_1&gt;</t>
  </si>
  <si>
    <t>&lt;T5SpaltenTitel_2&gt;</t>
  </si>
  <si>
    <t>&lt;T5SpaltenTitel_6&gt;</t>
  </si>
  <si>
    <t>&lt;T5Legende_3&gt;</t>
  </si>
  <si>
    <t>&lt;T5Aktualisierung&gt;</t>
  </si>
  <si>
    <t>T6</t>
  </si>
  <si>
    <t>&lt;T6Titel1&gt;</t>
  </si>
  <si>
    <t>&lt;T6Titel2&gt;</t>
  </si>
  <si>
    <t>&lt;T6Titel3&gt;</t>
  </si>
  <si>
    <t>&lt;T6SpaltenTitel_1&gt;</t>
  </si>
  <si>
    <t>&lt;T6SpaltenTitel_2&gt;</t>
  </si>
  <si>
    <t>&lt;T6SpaltenTitel_5&gt;</t>
  </si>
  <si>
    <t>&lt;T6SpaltenTitel_6&gt;</t>
  </si>
  <si>
    <t>&lt;T6Legende_3&gt;</t>
  </si>
  <si>
    <t>&lt;T6Aktualisierung&gt;</t>
  </si>
  <si>
    <t>T7</t>
  </si>
  <si>
    <t>&lt;T7Titel1&gt;</t>
  </si>
  <si>
    <t>&lt;T7Titel2&gt;</t>
  </si>
  <si>
    <t>&lt;T7Titel3&gt;</t>
  </si>
  <si>
    <t>&lt;T7SpaltenTitel_1&gt;</t>
  </si>
  <si>
    <t>&lt;T7SpaltenTitel_2&gt;</t>
  </si>
  <si>
    <t>&lt;T7SpaltenTitel_5&gt;</t>
  </si>
  <si>
    <t>&lt;T7SpaltenTitel_6&gt;</t>
  </si>
  <si>
    <t>&lt;T8Legende_3&gt;</t>
  </si>
  <si>
    <t>&lt;T7Aktualisierung&gt;</t>
  </si>
  <si>
    <t>&lt;T7Legende_3&gt;</t>
  </si>
  <si>
    <t>T8</t>
  </si>
  <si>
    <t>&lt;T8Titel1&gt;</t>
  </si>
  <si>
    <t>&lt;T8Titel2&gt;</t>
  </si>
  <si>
    <t>&lt;T8Titel3&gt;</t>
  </si>
  <si>
    <t>&lt;T8SpaltenTitel_1&gt;</t>
  </si>
  <si>
    <t>&lt;T8SpaltenTitel_2&gt;</t>
  </si>
  <si>
    <t>&lt;T8SpaltenTitel_5&gt;</t>
  </si>
  <si>
    <t>&lt;T8SpaltenTitel_6&gt;</t>
  </si>
  <si>
    <t>&lt;T8Aktualisierung&gt;</t>
  </si>
  <si>
    <t>T9</t>
  </si>
  <si>
    <t>&lt;T9Titel1&gt;</t>
  </si>
  <si>
    <t>&lt;T9Titel2&gt;</t>
  </si>
  <si>
    <t>&lt;T9Titel3&gt;</t>
  </si>
  <si>
    <t>&lt;T9SpaltenTitel_1&gt;</t>
  </si>
  <si>
    <t>&lt;T9SpaltenTitel_2&gt;</t>
  </si>
  <si>
    <t>&lt;T9SpaltenTitel_5&gt;</t>
  </si>
  <si>
    <t>&lt;T9SpaltenTitel_6&gt;</t>
  </si>
  <si>
    <t>&lt;T9Legende_3&gt;</t>
  </si>
  <si>
    <t>&lt;T9Aktualisierung&gt;</t>
  </si>
  <si>
    <t>T10</t>
  </si>
  <si>
    <t>&lt;T10Titel1&gt;</t>
  </si>
  <si>
    <t>&lt;T10Titel2&gt;</t>
  </si>
  <si>
    <t>&lt;T10Titel3&gt;</t>
  </si>
  <si>
    <t>&lt;T10SpaltenTitel_1&gt;</t>
  </si>
  <si>
    <t>&lt;T10SpaltenTitel_2&gt;</t>
  </si>
  <si>
    <t>&lt;T10SpaltenTitel_5&gt;</t>
  </si>
  <si>
    <t>&lt;T10SpaltenTitel_6&gt;</t>
  </si>
  <si>
    <t>&lt;T10Legende_3&gt;</t>
  </si>
  <si>
    <t>&lt;T10Aktualisierung&gt;</t>
  </si>
  <si>
    <t>T11</t>
  </si>
  <si>
    <t>&lt;T11Titel1&gt;</t>
  </si>
  <si>
    <t>&lt;T11Titel2&gt;</t>
  </si>
  <si>
    <t>&lt;T11Titel3&gt;</t>
  </si>
  <si>
    <t>&lt;T11SpaltenTitel_1&gt;</t>
  </si>
  <si>
    <t>&lt;T11SpaltenTitel_2&gt;</t>
  </si>
  <si>
    <t>&lt;T11SpaltenTitel_5&gt;</t>
  </si>
  <si>
    <t>&lt;T11SpaltenTitel_6&gt;</t>
  </si>
  <si>
    <t>&lt;T11Legende_3&gt;</t>
  </si>
  <si>
    <t>&lt;T11Aktualisierung&gt;</t>
  </si>
  <si>
    <t>&lt;T12Titel1&gt;</t>
  </si>
  <si>
    <t>&lt;T12Titel2&gt;</t>
  </si>
  <si>
    <t>&lt;T12Titel3&gt;</t>
  </si>
  <si>
    <t>&lt;T12SpaltenTitel_1&gt;</t>
  </si>
  <si>
    <t>&lt;T12SpaltenTitel_2&gt;</t>
  </si>
  <si>
    <t>&lt;T12SpaltenTitel_5&gt;</t>
  </si>
  <si>
    <t>&lt;T12SpaltenTitel_6&gt;</t>
  </si>
  <si>
    <t>&lt;T12Legende_3&gt;</t>
  </si>
  <si>
    <t>&lt;T12Aktualisierung&gt;</t>
  </si>
  <si>
    <t>T12</t>
  </si>
  <si>
    <t>INPUT JAHRESZAHL</t>
  </si>
  <si>
    <t>&lt;Titelprov&gt;</t>
  </si>
  <si>
    <t>provisorische Ergebnisse</t>
  </si>
  <si>
    <t>resultats provisorics</t>
  </si>
  <si>
    <t>cifre provvisorie</t>
  </si>
  <si>
    <t>wenn definitiv-&gt; Zeile oben mit diesem Text ersetzen</t>
  </si>
  <si>
    <t>definitive Ergebnisse</t>
  </si>
  <si>
    <t>resultats definitivs</t>
  </si>
  <si>
    <t>cifre definitive</t>
  </si>
  <si>
    <t>Australien</t>
  </si>
  <si>
    <t>Israel</t>
  </si>
  <si>
    <t>Kanada</t>
  </si>
  <si>
    <t>China</t>
  </si>
  <si>
    <t>Indien</t>
  </si>
  <si>
    <t>übrige Golfstaaten</t>
  </si>
  <si>
    <t>übriges Südostasien</t>
  </si>
  <si>
    <t>übriges Osteuropa</t>
  </si>
  <si>
    <t>übriges Zentral- und Südamerika</t>
  </si>
  <si>
    <t>Afrikanischer Kontinent</t>
  </si>
  <si>
    <t>Südosteuropa</t>
  </si>
  <si>
    <t>&lt;Zeilentitel_58&gt;</t>
  </si>
  <si>
    <t>&lt;Zeilentitel_59&gt;</t>
  </si>
  <si>
    <t>&lt;Zeilentitel_60&gt;</t>
  </si>
  <si>
    <t>&lt;Zeilentitel_61&gt;</t>
  </si>
  <si>
    <t>&lt;Zeilentitel_62&gt;</t>
  </si>
  <si>
    <t>Weitere Ländergruppen:</t>
  </si>
  <si>
    <t>Australia</t>
  </si>
  <si>
    <t>Israele</t>
  </si>
  <si>
    <t>Canada</t>
  </si>
  <si>
    <t>Cina</t>
  </si>
  <si>
    <t>Ulteriuras gruppas da pajais:</t>
  </si>
  <si>
    <t>Altri gruppi di paesi:</t>
  </si>
  <si>
    <t>Europa sudorientale</t>
  </si>
  <si>
    <t>altri paesi dell'Europa occidentale</t>
  </si>
  <si>
    <t>altri paesi dell'Europa orientale</t>
  </si>
  <si>
    <t>altri paesi dell'America centrale e meridionale</t>
  </si>
  <si>
    <t>continente africano</t>
  </si>
  <si>
    <t>ulteriurs stadis dal Golf</t>
  </si>
  <si>
    <t>ulteriur pajais da l'Asia dal Sidost</t>
  </si>
  <si>
    <t>continent african</t>
  </si>
  <si>
    <t>Europa dal Sidost</t>
  </si>
  <si>
    <t>ulteriur pajais da l'Europa da l'Ost</t>
  </si>
  <si>
    <t>ulteriur pajais da l'America centrala e dal Sid</t>
  </si>
  <si>
    <t>altri stati del Golfo</t>
  </si>
  <si>
    <t>&lt;Zeilentitel_44.1&gt;</t>
  </si>
  <si>
    <t>&lt;Zeilentitel_44.2&gt;</t>
  </si>
  <si>
    <t>&lt;Zeilentitel_44.3&gt;</t>
  </si>
  <si>
    <t>&lt;Zeilentitel_44.4&gt;</t>
  </si>
  <si>
    <t>&lt;Zeilentitel_44.5&gt;</t>
  </si>
  <si>
    <t>&lt;Zeilentitel_44.6&gt;</t>
  </si>
  <si>
    <t>&lt;Zeilentitel_44.7&gt;</t>
  </si>
  <si>
    <t>&lt;Zeilentitel_44.8&gt;</t>
  </si>
  <si>
    <t>Tschechien</t>
  </si>
  <si>
    <t>Schweden</t>
  </si>
  <si>
    <t>Dänemark</t>
  </si>
  <si>
    <t>Spanien</t>
  </si>
  <si>
    <t>Vereinigte Arabische Emirate</t>
  </si>
  <si>
    <t>Luxemburg</t>
  </si>
  <si>
    <t>Tschechia</t>
  </si>
  <si>
    <t>Svezia</t>
  </si>
  <si>
    <t>Danemarc</t>
  </si>
  <si>
    <t>Spagna</t>
  </si>
  <si>
    <t>Emirats Arabs Unids</t>
  </si>
  <si>
    <t>Repubblica ceca</t>
  </si>
  <si>
    <t>Danimarca</t>
  </si>
  <si>
    <t>Lussemburgo</t>
  </si>
  <si>
    <t>Emirati Arabi Uniti</t>
  </si>
  <si>
    <t>&lt;Legende_1.1&gt;</t>
  </si>
  <si>
    <t>Aktuelle Zuordnung der übrigen Länder zu den Ländergruppen:</t>
  </si>
  <si>
    <t>Attuale classificazione degli altri paesi nei gruppi di paesi:</t>
  </si>
  <si>
    <t>Attribuziun actuala dals ulteriurs pajais a las gruppas da pajais:</t>
  </si>
  <si>
    <t>T13</t>
  </si>
  <si>
    <t>&lt;T13Titel1&gt;</t>
  </si>
  <si>
    <t>&lt;T13Titel2&gt;</t>
  </si>
  <si>
    <t>&lt;T13Titel3&gt;</t>
  </si>
  <si>
    <t>&lt;T13SpaltenTitel_1&gt;</t>
  </si>
  <si>
    <t>&lt;T13SpaltenTitel_2&gt;</t>
  </si>
  <si>
    <t>&lt;T13SpaltenTitel_5&gt;</t>
  </si>
  <si>
    <t>&lt;T13SpaltenTitel_6&gt;</t>
  </si>
  <si>
    <t>Ländergruppe</t>
  </si>
  <si>
    <t>Gruppa da Pajais</t>
  </si>
  <si>
    <t>Gruppo di paese</t>
  </si>
  <si>
    <t>Land</t>
  </si>
  <si>
    <t>Pajais</t>
  </si>
  <si>
    <t>Paese</t>
  </si>
  <si>
    <t>&lt;T13Zeilentitel_1&gt;</t>
  </si>
  <si>
    <t>&lt;T13Zeilentitel_2&gt;</t>
  </si>
  <si>
    <t>&lt;T13Zeilentitel_3&gt;</t>
  </si>
  <si>
    <t>Ägypten</t>
  </si>
  <si>
    <t>Argentinien</t>
  </si>
  <si>
    <t>Bahrain</t>
  </si>
  <si>
    <t>Belarus</t>
  </si>
  <si>
    <t>Bulgarien</t>
  </si>
  <si>
    <t>Chile</t>
  </si>
  <si>
    <t>Estland</t>
  </si>
  <si>
    <t>Finnland</t>
  </si>
  <si>
    <t>Griechenland</t>
  </si>
  <si>
    <t>Hongkong</t>
  </si>
  <si>
    <t>Indonesien</t>
  </si>
  <si>
    <t>Iran</t>
  </si>
  <si>
    <t>Irland</t>
  </si>
  <si>
    <t>Island</t>
  </si>
  <si>
    <t>Katar</t>
  </si>
  <si>
    <t>Korea (Süd-)</t>
  </si>
  <si>
    <t>Kroatien</t>
  </si>
  <si>
    <t>Kuwait</t>
  </si>
  <si>
    <t>Lettland</t>
  </si>
  <si>
    <t>Liechtenstein</t>
  </si>
  <si>
    <t>Litauen</t>
  </si>
  <si>
    <t>Malaysia</t>
  </si>
  <si>
    <t>Malta</t>
  </si>
  <si>
    <t>Mexiko</t>
  </si>
  <si>
    <t>Neuseeland, Ozeanien</t>
  </si>
  <si>
    <t>Norwegen</t>
  </si>
  <si>
    <t>Oman</t>
  </si>
  <si>
    <t>Philippinen</t>
  </si>
  <si>
    <t>Portugal</t>
  </si>
  <si>
    <t>Rumänien</t>
  </si>
  <si>
    <t>Russland</t>
  </si>
  <si>
    <t>Saudi-Arabien</t>
  </si>
  <si>
    <t>Serbien</t>
  </si>
  <si>
    <t>Singapur</t>
  </si>
  <si>
    <t>Slowakei</t>
  </si>
  <si>
    <t>Slowenien</t>
  </si>
  <si>
    <t>Südafrika</t>
  </si>
  <si>
    <t>Thailand</t>
  </si>
  <si>
    <t>Türkei</t>
  </si>
  <si>
    <t>Übriges Afrika</t>
  </si>
  <si>
    <t>Übriges Europa</t>
  </si>
  <si>
    <t>Übriges Nordafrika</t>
  </si>
  <si>
    <t>Übriges Süd- und Ostasien</t>
  </si>
  <si>
    <t>Übriges Südamerika</t>
  </si>
  <si>
    <t>Übriges Westasien</t>
  </si>
  <si>
    <t>Übriges Zentralamerika, Karibik</t>
  </si>
  <si>
    <t>Ukraine</t>
  </si>
  <si>
    <t>Ungarn</t>
  </si>
  <si>
    <t>Zypern</t>
  </si>
  <si>
    <t>&lt;Zeilentitel_44.9&gt;</t>
  </si>
  <si>
    <t>altri paesi di origine</t>
  </si>
  <si>
    <t>ulteriurs pajais d'origin</t>
  </si>
  <si>
    <t>übrige Herkunftsländer</t>
  </si>
  <si>
    <t>einzeln ausgewiesen</t>
  </si>
  <si>
    <t>cumprovà separadamain</t>
  </si>
  <si>
    <t>denominati individualmente</t>
  </si>
  <si>
    <t>&lt;T13Zeilentitel_4&gt;</t>
  </si>
  <si>
    <t>&lt;T13Zeilentitel_5&gt;</t>
  </si>
  <si>
    <t>Egitto</t>
  </si>
  <si>
    <t>Argentina</t>
  </si>
  <si>
    <t>Bahrein</t>
  </si>
  <si>
    <t>Bielorussia</t>
  </si>
  <si>
    <t>Bulgaria</t>
  </si>
  <si>
    <t>Cile</t>
  </si>
  <si>
    <t>Estonia</t>
  </si>
  <si>
    <t>Finlandia</t>
  </si>
  <si>
    <t>Grecia</t>
  </si>
  <si>
    <t>Hong Kong</t>
  </si>
  <si>
    <t>India</t>
  </si>
  <si>
    <t>Indonesia</t>
  </si>
  <si>
    <t>Irlanda</t>
  </si>
  <si>
    <t>Islanda</t>
  </si>
  <si>
    <t>Qatar</t>
  </si>
  <si>
    <t>Corea (Sud)</t>
  </si>
  <si>
    <t>Croazia</t>
  </si>
  <si>
    <t>Lettonia</t>
  </si>
  <si>
    <t>Lituania</t>
  </si>
  <si>
    <t>Messico</t>
  </si>
  <si>
    <t>Nuova Zelanda, Oceania</t>
  </si>
  <si>
    <t>Norvegia</t>
  </si>
  <si>
    <t>Filippine</t>
  </si>
  <si>
    <t>Portogallo</t>
  </si>
  <si>
    <t>Romania</t>
  </si>
  <si>
    <t>Russia</t>
  </si>
  <si>
    <t>Arabia Saudita</t>
  </si>
  <si>
    <t>Serbia</t>
  </si>
  <si>
    <t>Singapore</t>
  </si>
  <si>
    <t>Slovacchia</t>
  </si>
  <si>
    <t>Slovenia</t>
  </si>
  <si>
    <t>Sudafrica</t>
  </si>
  <si>
    <t>Thailandia</t>
  </si>
  <si>
    <t>Turchia</t>
  </si>
  <si>
    <t>Resto dell'Africa</t>
  </si>
  <si>
    <t>Resto dell'Europa</t>
  </si>
  <si>
    <t>Resto dell'Africa settentrionale</t>
  </si>
  <si>
    <t>Resto dell'Asia meridionale e orientale</t>
  </si>
  <si>
    <t>Resto dell'America del Sud</t>
  </si>
  <si>
    <t>Resto dell'Asia occidentale</t>
  </si>
  <si>
    <t>Resto dell'America centrale, Caraibi</t>
  </si>
  <si>
    <t>Ucraina</t>
  </si>
  <si>
    <t>Ungheria</t>
  </si>
  <si>
    <t>Cipro</t>
  </si>
  <si>
    <t>Egipta</t>
  </si>
  <si>
    <t>Finlanda</t>
  </si>
  <si>
    <t>Grezia</t>
  </si>
  <si>
    <t>Corea (Sid)</t>
  </si>
  <si>
    <t>Malaisia</t>
  </si>
  <si>
    <t>Mexico</t>
  </si>
  <si>
    <t>Nova Zelanda, Oceania</t>
  </si>
  <si>
    <t>Filippinas</t>
  </si>
  <si>
    <t>Rumenia</t>
  </si>
  <si>
    <t>Slovachia</t>
  </si>
  <si>
    <t>Africa dal Sid</t>
  </si>
  <si>
    <t>Tailanda</t>
  </si>
  <si>
    <t>Tirchia</t>
  </si>
  <si>
    <t>Ulteriur Africa</t>
  </si>
  <si>
    <t>Ulteriura Europa</t>
  </si>
  <si>
    <t>Ulteriur da l'Africa dal Nord</t>
  </si>
  <si>
    <t>Ulteriur pajais da l'Asia dal Sid e da l'Ost</t>
  </si>
  <si>
    <t>Ulteriur America dal Sid</t>
  </si>
  <si>
    <t>Ulteriur pajais da l'Asia dal Vest</t>
  </si>
  <si>
    <t>Ulteriur America Centrala, Caribica</t>
  </si>
  <si>
    <t>Ungaria</t>
  </si>
  <si>
    <t>Cipra</t>
  </si>
  <si>
    <t>&lt;T13Zeilentitel_6&gt;</t>
  </si>
  <si>
    <t>&lt;T13Zeilentitel_7&gt;</t>
  </si>
  <si>
    <t>&lt;T13Zeilentitel_8&gt;</t>
  </si>
  <si>
    <t>&lt;T13Zeilentitel_9&gt;</t>
  </si>
  <si>
    <t>&lt;T13Zeilentitel_10&gt;</t>
  </si>
  <si>
    <t>&lt;T13Zeilentitel_11&gt;</t>
  </si>
  <si>
    <t>&lt;T13Zeilentitel_12&gt;</t>
  </si>
  <si>
    <t>&lt;T13Zeilentitel_13&gt;</t>
  </si>
  <si>
    <t>&lt;T13Zeilentitel_14&gt;</t>
  </si>
  <si>
    <t>&lt;T13Zeilentitel_15&gt;</t>
  </si>
  <si>
    <t>&lt;T13Zeilentitel_16&gt;</t>
  </si>
  <si>
    <t>&lt;T13Zeilentitel_17&gt;</t>
  </si>
  <si>
    <t>&lt;T13Zeilentitel_18&gt;</t>
  </si>
  <si>
    <t>&lt;T13Zeilentitel_19&gt;</t>
  </si>
  <si>
    <t>&lt;T13Zeilentitel_21&gt;</t>
  </si>
  <si>
    <t>&lt;T13Zeilentitel_20&gt;</t>
  </si>
  <si>
    <t>&lt;T13Zeilentitel_22&gt;</t>
  </si>
  <si>
    <t>&lt;T13Zeilentitel_23&gt;</t>
  </si>
  <si>
    <t>&lt;T13Zeilentitel_24&gt;</t>
  </si>
  <si>
    <t>&lt;T13Zeilentitel_25&gt;</t>
  </si>
  <si>
    <t>&lt;T13Zeilentitel_26&gt;</t>
  </si>
  <si>
    <t>&lt;T13Zeilentitel_27&gt;</t>
  </si>
  <si>
    <t>&lt;T13Zeilentitel_28&gt;</t>
  </si>
  <si>
    <t>&lt;T13Zeilentitel_29&gt;</t>
  </si>
  <si>
    <t>&lt;T13Zeilentitel_30&gt;</t>
  </si>
  <si>
    <t>&lt;T13Zeilentitel_31&gt;</t>
  </si>
  <si>
    <t>&lt;T13Zeilentitel_32&gt;</t>
  </si>
  <si>
    <t>&lt;T13Zeilentitel_33&gt;</t>
  </si>
  <si>
    <t>&lt;T13Zeilentitel_34&gt;</t>
  </si>
  <si>
    <t>&lt;T13Zeilentitel_35&gt;</t>
  </si>
  <si>
    <t>&lt;T13Zeilentitel_36&gt;</t>
  </si>
  <si>
    <t>&lt;T13Zeilentitel_37&gt;</t>
  </si>
  <si>
    <t>&lt;T13Zeilentitel_38&gt;</t>
  </si>
  <si>
    <t>&lt;T13Zeilentitel_39&gt;</t>
  </si>
  <si>
    <t>&lt;T13Zeilentitel_40&gt;</t>
  </si>
  <si>
    <t>&lt;T13Zeilentitel_41&gt;</t>
  </si>
  <si>
    <t>&lt;T13Zeilentitel_42&gt;</t>
  </si>
  <si>
    <t>&lt;T13Zeilentitel_43&gt;</t>
  </si>
  <si>
    <t>&lt;T13Zeilentitel_44&gt;</t>
  </si>
  <si>
    <t>&lt;T13Zeilentitel_45&gt;</t>
  </si>
  <si>
    <t>&lt;T13Zeilentitel_46&gt;</t>
  </si>
  <si>
    <t>&lt;T13Zeilentitel_47&gt;</t>
  </si>
  <si>
    <t>&lt;T13Zeilentitel_48&gt;</t>
  </si>
  <si>
    <t>&lt;T13Zeilentitel_49&gt;</t>
  </si>
  <si>
    <t>&lt;T13Zeilentitel_50&gt;</t>
  </si>
  <si>
    <t>&lt;T13Zeilentitel_51&gt;</t>
  </si>
  <si>
    <t>&lt;T13Zeilentitel_52&gt;</t>
  </si>
  <si>
    <t>&lt;T13Zeilentitel_53&gt;</t>
  </si>
  <si>
    <t>&lt;T13Zeilentitel_54&gt;</t>
  </si>
  <si>
    <t>&lt;T13Zeilentitel_55&gt;</t>
  </si>
  <si>
    <t>&lt;T13Zeilentitel_56&gt;</t>
  </si>
  <si>
    <t>&lt;T13Zeilentitel_57&gt;</t>
  </si>
  <si>
    <t>&lt;T13Zeilentitel_58&gt;</t>
  </si>
  <si>
    <t>&lt;T13Zeilentitel_59&gt;</t>
  </si>
  <si>
    <t>&lt;T13Zeilentitel_60&gt;</t>
  </si>
  <si>
    <t>&lt;T13Zeilentitel_61&gt;</t>
  </si>
  <si>
    <t>&lt;T13Zeilentitel_62&gt;</t>
  </si>
  <si>
    <t>&lt;T13Zeilentitel_63&gt;</t>
  </si>
  <si>
    <t>&lt;T13Zeilentitel_64&gt;</t>
  </si>
  <si>
    <t>&lt;T13Zeilentitel_65&gt;</t>
  </si>
  <si>
    <t>&lt;T13Zeilentitel_66&gt;</t>
  </si>
  <si>
    <t>&lt;T13Zeilentitel_67&gt;</t>
  </si>
  <si>
    <t>&lt;T13Zeilentitel_68&gt;</t>
  </si>
  <si>
    <t>&lt;T13Zeilentitel_69&gt;</t>
  </si>
  <si>
    <t>&lt;T13Zeilentitel_70&gt;</t>
  </si>
  <si>
    <t>&lt;T13Zeilentitel_71&gt;</t>
  </si>
  <si>
    <t>&lt;T13Zeilentitel_72&gt;</t>
  </si>
  <si>
    <t>&lt;T13Zeilentitel_73&gt;</t>
  </si>
  <si>
    <t>Länder / Pajais / Paese</t>
  </si>
  <si>
    <t>&lt;T13Aktualisierung&gt;</t>
  </si>
  <si>
    <t>Letztmals aktualisiert am: 30.01.2025</t>
  </si>
  <si>
    <t>Ultima actualisaziun: 30.01.2025</t>
  </si>
  <si>
    <t>Ultimo aggiornamento: 30.01.2025</t>
  </si>
  <si>
    <t>übriges West- und Nordeuropa</t>
  </si>
  <si>
    <t>Taiwan</t>
  </si>
  <si>
    <t>ulteriur pajais da l'Europa dal Vest e dal Nord</t>
  </si>
  <si>
    <t>altri paesi del Sud-Est asiatico e settentrionale</t>
  </si>
  <si>
    <r>
      <t>Daten des Juni 2025 erscheinen am</t>
    </r>
    <r>
      <rPr>
        <b/>
        <sz val="10"/>
        <rFont val="Arial"/>
        <family val="2"/>
      </rPr>
      <t xml:space="preserve"> 5. August 2025.</t>
    </r>
  </si>
  <si>
    <r>
      <t>Datas dal zercladur 2025 cumparan ils</t>
    </r>
    <r>
      <rPr>
        <b/>
        <sz val="10"/>
        <rFont val="Arial"/>
        <family val="2"/>
      </rPr>
      <t xml:space="preserve"> 5 da avust 2025.</t>
    </r>
  </si>
  <si>
    <r>
      <t>I dati del giugno 2025 saranno pubblicati il</t>
    </r>
    <r>
      <rPr>
        <b/>
        <sz val="10"/>
        <rFont val="Arial"/>
        <family val="2"/>
      </rPr>
      <t xml:space="preserve"> 5 agosto 2025.</t>
    </r>
  </si>
  <si>
    <r>
      <t xml:space="preserve">Daten des Juli 2025 erscheinen am </t>
    </r>
    <r>
      <rPr>
        <b/>
        <sz val="10"/>
        <rFont val="Arial"/>
        <family val="2"/>
      </rPr>
      <t>5. September 2025.</t>
    </r>
  </si>
  <si>
    <r>
      <t xml:space="preserve">Datas dal fanadur 2025 cumparan ils </t>
    </r>
    <r>
      <rPr>
        <b/>
        <sz val="10"/>
        <rFont val="Arial"/>
        <family val="2"/>
      </rPr>
      <t>5 da september 2025.</t>
    </r>
  </si>
  <si>
    <r>
      <t xml:space="preserve">I dati del luglio 2025 saranno pubblicati il </t>
    </r>
    <r>
      <rPr>
        <b/>
        <sz val="10"/>
        <rFont val="Arial"/>
        <family val="2"/>
      </rPr>
      <t>5 settembre 2025.</t>
    </r>
  </si>
  <si>
    <r>
      <t>Daten des September 2025 erscheinen am</t>
    </r>
    <r>
      <rPr>
        <b/>
        <sz val="10"/>
        <rFont val="Arial"/>
        <family val="2"/>
      </rPr>
      <t xml:space="preserve"> 4. November 2025.</t>
    </r>
  </si>
  <si>
    <r>
      <t>Datas dal september 2025 cumparan ils</t>
    </r>
    <r>
      <rPr>
        <b/>
        <sz val="10"/>
        <rFont val="Arial"/>
        <family val="2"/>
      </rPr>
      <t xml:space="preserve"> 4 da november 2025</t>
    </r>
    <r>
      <rPr>
        <sz val="10"/>
        <rFont val="Arial"/>
        <family val="2"/>
      </rPr>
      <t>.</t>
    </r>
  </si>
  <si>
    <r>
      <t xml:space="preserve">I dati del settembre 2025 saranno pubblicati il </t>
    </r>
    <r>
      <rPr>
        <b/>
        <sz val="10"/>
        <rFont val="Arial"/>
        <family val="2"/>
      </rPr>
      <t>3 novembre 2025.</t>
    </r>
  </si>
  <si>
    <t>Letztmals aktualisiert am: 22.02.2026</t>
  </si>
  <si>
    <t>Ultima actualisaziun: 22.02.2026</t>
  </si>
  <si>
    <t>Ultimo aggiornamento: 22.02.2026</t>
  </si>
  <si>
    <r>
      <t>Daten des Dezember 2025 erscheinen am</t>
    </r>
    <r>
      <rPr>
        <b/>
        <sz val="10"/>
        <rFont val="Arial"/>
        <family val="2"/>
      </rPr>
      <t xml:space="preserve"> 20. Februar 2026.</t>
    </r>
  </si>
  <si>
    <r>
      <t xml:space="preserve">Datas dal dezember 2025 cumparan ils </t>
    </r>
    <r>
      <rPr>
        <b/>
        <sz val="10"/>
        <rFont val="Arial"/>
        <family val="2"/>
      </rPr>
      <t>20 da fevrer 2026</t>
    </r>
    <r>
      <rPr>
        <sz val="10"/>
        <rFont val="Arial"/>
        <family val="2"/>
      </rPr>
      <t>.</t>
    </r>
  </si>
  <si>
    <r>
      <t xml:space="preserve">I dati del dicembre 2025 saranno pubblicati il </t>
    </r>
    <r>
      <rPr>
        <b/>
        <sz val="10"/>
        <rFont val="Arial"/>
        <family val="2"/>
      </rPr>
      <t>20 febbraio 2026.</t>
    </r>
  </si>
  <si>
    <r>
      <t xml:space="preserve">Daten des Januar 2026 erscheinen am </t>
    </r>
    <r>
      <rPr>
        <b/>
        <sz val="10"/>
        <rFont val="Arial"/>
        <family val="2"/>
      </rPr>
      <t>10. März 2026.</t>
    </r>
  </si>
  <si>
    <r>
      <t xml:space="preserve">Datas dal schaner 2026 cumparan ils </t>
    </r>
    <r>
      <rPr>
        <b/>
        <sz val="10"/>
        <rFont val="Arial"/>
        <family val="2"/>
      </rPr>
      <t>10 da marz 2026</t>
    </r>
    <r>
      <rPr>
        <sz val="10"/>
        <rFont val="Arial"/>
        <family val="2"/>
      </rPr>
      <t>.</t>
    </r>
  </si>
  <si>
    <r>
      <t xml:space="preserve">I dati del gennaio 2026 saranno pubblicati il </t>
    </r>
    <r>
      <rPr>
        <b/>
        <sz val="10"/>
        <rFont val="Arial"/>
        <family val="2"/>
      </rPr>
      <t>10 marzo 2026.</t>
    </r>
  </si>
  <si>
    <t>Letztmals aktualisiert am: 10.03.2025</t>
  </si>
  <si>
    <t>Ultima actualisaziun: 10.03.2025</t>
  </si>
  <si>
    <t>Ultimo aggiornamento: 10.03.2025</t>
  </si>
  <si>
    <r>
      <t>Datas dal fevrer 2025 cumparan ils</t>
    </r>
    <r>
      <rPr>
        <b/>
        <sz val="10"/>
        <rFont val="Arial"/>
        <family val="2"/>
      </rPr>
      <t xml:space="preserve"> 4 da avrigl 2025.</t>
    </r>
  </si>
  <si>
    <r>
      <t>I dati del febbraio 2025 saranno pubblicati il</t>
    </r>
    <r>
      <rPr>
        <b/>
        <sz val="10"/>
        <rFont val="Arial"/>
        <family val="2"/>
      </rPr>
      <t xml:space="preserve"> 4 aprile 2025.</t>
    </r>
  </si>
  <si>
    <r>
      <t>Daten des Februar 2025 erscheinen am</t>
    </r>
    <r>
      <rPr>
        <b/>
        <sz val="10"/>
        <rFont val="Arial"/>
        <family val="2"/>
      </rPr>
      <t xml:space="preserve"> 4. April 2025.</t>
    </r>
  </si>
  <si>
    <t>Letztmals aktualisiert am: 04.04.2025</t>
  </si>
  <si>
    <r>
      <t>Daten des März 2025 erscheinen am</t>
    </r>
    <r>
      <rPr>
        <b/>
        <sz val="10"/>
        <rFont val="Arial"/>
        <family val="2"/>
      </rPr>
      <t xml:space="preserve"> 7. Mai 2025.</t>
    </r>
  </si>
  <si>
    <r>
      <t>Datas dal mars 2025 cumparan ils</t>
    </r>
    <r>
      <rPr>
        <b/>
        <sz val="10"/>
        <rFont val="Arial"/>
        <family val="2"/>
      </rPr>
      <t xml:space="preserve"> 7 da matg 2025</t>
    </r>
    <r>
      <rPr>
        <sz val="10"/>
        <rFont val="Arial"/>
        <family val="2"/>
      </rPr>
      <t>.</t>
    </r>
  </si>
  <si>
    <r>
      <t>I dati del marzo 2025 saranno pubblicati il</t>
    </r>
    <r>
      <rPr>
        <b/>
        <sz val="10"/>
        <rFont val="Arial"/>
        <family val="2"/>
      </rPr>
      <t xml:space="preserve"> 7 maggio 2025</t>
    </r>
    <r>
      <rPr>
        <sz val="10"/>
        <rFont val="Arial"/>
        <family val="2"/>
      </rPr>
      <t>.</t>
    </r>
  </si>
  <si>
    <t>Ultima actualisaziun: 04.04.2025</t>
  </si>
  <si>
    <t>Ultimo aggiornamento: 04.04.2025</t>
  </si>
  <si>
    <r>
      <t xml:space="preserve">Daten des April 2025 erscheinen am </t>
    </r>
    <r>
      <rPr>
        <b/>
        <sz val="10"/>
        <rFont val="Arial"/>
        <family val="2"/>
      </rPr>
      <t>5. Juni 2025.</t>
    </r>
  </si>
  <si>
    <r>
      <t>I dati del maggio 2025 saranno pubblicati il</t>
    </r>
    <r>
      <rPr>
        <b/>
        <sz val="10"/>
        <rFont val="Arial"/>
        <family val="2"/>
      </rPr>
      <t xml:space="preserve"> 5 giugno 2025.</t>
    </r>
  </si>
  <si>
    <r>
      <t>Datas dal matg 2025 cumparan ils</t>
    </r>
    <r>
      <rPr>
        <b/>
        <sz val="10"/>
        <rFont val="Arial"/>
        <family val="2"/>
      </rPr>
      <t xml:space="preserve"> 5 da zercladur 2025</t>
    </r>
    <r>
      <rPr>
        <sz val="10"/>
        <rFont val="Arial"/>
        <family val="2"/>
      </rPr>
      <t>.</t>
    </r>
  </si>
  <si>
    <t>Letztmals aktualisiert am: 07.05.2025</t>
  </si>
  <si>
    <t>Ultima actualisaziun: 07.05.2025</t>
  </si>
  <si>
    <t>Ultimo aggiornamento: 07.05.2025</t>
  </si>
  <si>
    <t>Letztmals aktualisiert am: 05.06.2025</t>
  </si>
  <si>
    <t>Ultima actualisaziun: 05.06.2025</t>
  </si>
  <si>
    <t>Ultimo aggiornamento: 05.06.2025</t>
  </si>
  <si>
    <r>
      <t>Daten des Mai 2025 erscheinen am 7</t>
    </r>
    <r>
      <rPr>
        <b/>
        <sz val="10"/>
        <rFont val="Arial"/>
        <family val="2"/>
      </rPr>
      <t>. Juli 2025.</t>
    </r>
  </si>
  <si>
    <r>
      <t>Datas dal matg 2025 cumparan ils 7</t>
    </r>
    <r>
      <rPr>
        <b/>
        <sz val="10"/>
        <rFont val="Arial"/>
        <family val="2"/>
      </rPr>
      <t xml:space="preserve"> da fanadur 2025</t>
    </r>
    <r>
      <rPr>
        <sz val="10"/>
        <rFont val="Arial"/>
        <family val="2"/>
      </rPr>
      <t>.</t>
    </r>
  </si>
  <si>
    <r>
      <t>I dati del maggio 2025 saranno pubblicati il 7</t>
    </r>
    <r>
      <rPr>
        <b/>
        <sz val="10"/>
        <rFont val="Arial"/>
        <family val="2"/>
      </rPr>
      <t xml:space="preserve"> luglio 2025.</t>
    </r>
  </si>
  <si>
    <t>Letztmals aktualisiert am: 07.07.2025</t>
  </si>
  <si>
    <t>Ultima actualisaziun: 07.07.2025</t>
  </si>
  <si>
    <t>Ultimo aggiornamento: 07.07.2025</t>
  </si>
  <si>
    <t>Letztmals aktualisiert am: 05.08.2025</t>
  </si>
  <si>
    <t>Ultima actualisaziun: 05.08.2025</t>
  </si>
  <si>
    <t>Ultimo aggiornamento: 05.08.2025</t>
  </si>
  <si>
    <t>Letztmals aktualisiert am: 05.09.2025</t>
  </si>
  <si>
    <t>Ultima actualisaziun: 05.09.2025</t>
  </si>
  <si>
    <t>Ultimo aggiornamento: 05.09.2025</t>
  </si>
  <si>
    <r>
      <t>Daten des August 2025 erscheinen am</t>
    </r>
    <r>
      <rPr>
        <b/>
        <sz val="10"/>
        <rFont val="Arial"/>
        <family val="2"/>
      </rPr>
      <t xml:space="preserve"> 3. Oktober 2025.</t>
    </r>
  </si>
  <si>
    <r>
      <t>Datas dal avust 2025 cumparan ils</t>
    </r>
    <r>
      <rPr>
        <b/>
        <sz val="10"/>
        <rFont val="Arial"/>
        <family val="2"/>
      </rPr>
      <t xml:space="preserve"> 3 da october 2025</t>
    </r>
    <r>
      <rPr>
        <sz val="10"/>
        <rFont val="Arial"/>
        <family val="2"/>
      </rPr>
      <t>.</t>
    </r>
  </si>
  <si>
    <r>
      <t>I dati del agosto 2025 saranno pubblicati il 3</t>
    </r>
    <r>
      <rPr>
        <b/>
        <sz val="10"/>
        <rFont val="Arial"/>
        <family val="2"/>
      </rPr>
      <t xml:space="preserve"> ottobre 2025.</t>
    </r>
  </si>
  <si>
    <t>Letztmals aktualisiert am: 03.10.2025</t>
  </si>
  <si>
    <t>Ultima actualisaziun: 03.10.2025</t>
  </si>
  <si>
    <t>Ultimo aggiornamento: 03.10.2025</t>
  </si>
  <si>
    <r>
      <t xml:space="preserve">Datas dal oktober 2025 cumparan ils </t>
    </r>
    <r>
      <rPr>
        <b/>
        <sz val="10"/>
        <rFont val="Arial"/>
        <family val="2"/>
      </rPr>
      <t>8 da dezember 2025.</t>
    </r>
  </si>
  <si>
    <r>
      <t xml:space="preserve">I dati del ottobre 2025 saranno pubblicati il </t>
    </r>
    <r>
      <rPr>
        <b/>
        <sz val="10"/>
        <rFont val="Arial"/>
        <family val="2"/>
      </rPr>
      <t>8 dicembre 2025.</t>
    </r>
  </si>
  <si>
    <r>
      <t xml:space="preserve">Daten des Oktober 2025 erscheinen am </t>
    </r>
    <r>
      <rPr>
        <b/>
        <sz val="10"/>
        <rFont val="Arial"/>
        <family val="2"/>
      </rPr>
      <t>8. Dezember 2025.</t>
    </r>
  </si>
  <si>
    <t>Letztmals aktualisiert am: 04.11.2025</t>
  </si>
  <si>
    <t>Ultima actualisaziun: 04.11.2025</t>
  </si>
  <si>
    <t>Ultimo aggiornamento: 04.11.2025</t>
  </si>
  <si>
    <t>Letztmals aktualisiert am: 08.12.2025</t>
  </si>
  <si>
    <t>Ultima actualisaziun: 08.12.2025</t>
  </si>
  <si>
    <t>Ultimo aggiornamento: 08.12.2025</t>
  </si>
  <si>
    <r>
      <t xml:space="preserve">Daten des November 2025 erscheinen am </t>
    </r>
    <r>
      <rPr>
        <b/>
        <sz val="10"/>
        <rFont val="Arial"/>
        <family val="2"/>
      </rPr>
      <t>15. Januar 2026.</t>
    </r>
  </si>
  <si>
    <r>
      <t xml:space="preserve">Datas dal november 2025 cumparan ils </t>
    </r>
    <r>
      <rPr>
        <b/>
        <sz val="10"/>
        <rFont val="Arial"/>
        <family val="2"/>
      </rPr>
      <t>15 da schaner 2026.</t>
    </r>
  </si>
  <si>
    <r>
      <t xml:space="preserve">I dati del novembere 2025 saranno pubblicati il </t>
    </r>
    <r>
      <rPr>
        <b/>
        <sz val="10"/>
        <rFont val="Arial"/>
        <family val="2"/>
      </rPr>
      <t>15 gennaio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</si>
</sst>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#\ ###\ ###\ ##0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sz val="10"/>
      <name val="Helv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Segoe UI"/>
      <family val="2"/>
    </font>
    <font>
      <b/>
      <sz val="18"/>
      <name val="Arial"/>
      <family val="2"/>
    </font>
    <font>
      <b/>
      <u/>
      <sz val="10"/>
      <name val="Arial"/>
      <family val="2"/>
    </font>
    <font>
      <b/>
      <sz val="10"/>
      <color indexed="8"/>
      <name val="Arial Narrow"/>
      <family val="2"/>
    </font>
    <font>
      <b/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1" fillId="0" borderId="0"/>
    <xf numFmtId="0" fontId="8" fillId="0" borderId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0" fontId="11" fillId="0" borderId="0"/>
    <xf numFmtId="0" fontId="12" fillId="0" borderId="0" applyNumberFormat="0" applyFill="0" applyBorder="0" applyAlignment="0" applyProtection="0"/>
    <xf numFmtId="0" fontId="14" fillId="0" borderId="0" applyNumberFormat="0" applyBorder="0" applyAlignment="0"/>
    <xf numFmtId="43" fontId="14" fillId="0" borderId="0" applyFont="0" applyFill="0" applyBorder="0" applyAlignment="0" applyProtection="0"/>
  </cellStyleXfs>
  <cellXfs count="134">
    <xf numFmtId="0" fontId="0" fillId="0" borderId="0" xfId="0"/>
    <xf numFmtId="0" fontId="6" fillId="2" borderId="0" xfId="1" applyFont="1" applyFill="1" applyBorder="1"/>
    <xf numFmtId="0" fontId="7" fillId="2" borderId="0" xfId="1" applyFont="1" applyFill="1" applyAlignment="1" applyProtection="1">
      <alignment horizontal="left"/>
      <protection locked="0"/>
    </xf>
    <xf numFmtId="0" fontId="3" fillId="2" borderId="0" xfId="1" applyFill="1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164" fontId="0" fillId="2" borderId="16" xfId="6" applyNumberFormat="1" applyFont="1" applyFill="1" applyBorder="1" applyAlignment="1">
      <alignment horizontal="right" vertical="center"/>
    </xf>
    <xf numFmtId="164" fontId="0" fillId="2" borderId="17" xfId="6" applyNumberFormat="1" applyFont="1" applyFill="1" applyBorder="1" applyAlignment="1">
      <alignment horizontal="right" vertical="center"/>
    </xf>
    <xf numFmtId="164" fontId="0" fillId="2" borderId="21" xfId="6" applyNumberFormat="1" applyFont="1" applyFill="1" applyBorder="1" applyAlignment="1">
      <alignment horizontal="right" vertical="center"/>
    </xf>
    <xf numFmtId="165" fontId="2" fillId="2" borderId="6" xfId="5" applyNumberFormat="1" applyFont="1" applyFill="1" applyBorder="1" applyAlignment="1">
      <alignment horizontal="right" vertical="center"/>
    </xf>
    <xf numFmtId="165" fontId="2" fillId="2" borderId="9" xfId="5" applyNumberFormat="1" applyFont="1" applyFill="1" applyBorder="1" applyAlignment="1">
      <alignment horizontal="right" vertical="center"/>
    </xf>
    <xf numFmtId="165" fontId="0" fillId="2" borderId="0" xfId="0" applyNumberFormat="1" applyFill="1"/>
    <xf numFmtId="166" fontId="0" fillId="2" borderId="0" xfId="0" applyNumberFormat="1" applyFill="1"/>
    <xf numFmtId="165" fontId="0" fillId="2" borderId="4" xfId="5" applyNumberFormat="1" applyFont="1" applyFill="1" applyBorder="1" applyAlignment="1">
      <alignment horizontal="right" vertical="center"/>
    </xf>
    <xf numFmtId="165" fontId="0" fillId="2" borderId="8" xfId="5" applyNumberFormat="1" applyFont="1" applyFill="1" applyBorder="1" applyAlignment="1">
      <alignment horizontal="right" vertical="center"/>
    </xf>
    <xf numFmtId="165" fontId="0" fillId="2" borderId="5" xfId="5" applyNumberFormat="1" applyFont="1" applyFill="1" applyBorder="1" applyAlignment="1">
      <alignment horizontal="right" vertical="center"/>
    </xf>
    <xf numFmtId="17" fontId="2" fillId="3" borderId="13" xfId="0" applyNumberFormat="1" applyFont="1" applyFill="1" applyBorder="1" applyAlignment="1">
      <alignment horizontal="right" vertical="center" wrapText="1"/>
    </xf>
    <xf numFmtId="17" fontId="0" fillId="3" borderId="14" xfId="0" applyNumberFormat="1" applyFill="1" applyBorder="1" applyAlignment="1">
      <alignment horizontal="right" vertical="center" wrapText="1"/>
    </xf>
    <xf numFmtId="0" fontId="0" fillId="3" borderId="15" xfId="0" applyNumberFormat="1" applyFill="1" applyBorder="1" applyAlignment="1">
      <alignment horizontal="right" vertical="center" wrapText="1"/>
    </xf>
    <xf numFmtId="0" fontId="0" fillId="3" borderId="18" xfId="0" applyNumberForma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/>
    </xf>
    <xf numFmtId="0" fontId="0" fillId="2" borderId="22" xfId="0" applyFill="1" applyBorder="1"/>
    <xf numFmtId="0" fontId="2" fillId="2" borderId="23" xfId="0" applyFont="1" applyFill="1" applyBorder="1" applyAlignment="1">
      <alignment vertical="center"/>
    </xf>
    <xf numFmtId="0" fontId="0" fillId="2" borderId="0" xfId="0" applyNumberFormat="1" applyFill="1"/>
    <xf numFmtId="0" fontId="0" fillId="2" borderId="0" xfId="0" applyNumberFormat="1" applyFill="1" applyBorder="1"/>
    <xf numFmtId="165" fontId="2" fillId="2" borderId="0" xfId="5" applyNumberFormat="1" applyFont="1" applyFill="1" applyBorder="1" applyAlignment="1">
      <alignment horizontal="right" vertical="center"/>
    </xf>
    <xf numFmtId="165" fontId="2" fillId="2" borderId="7" xfId="5" applyNumberFormat="1" applyFont="1" applyFill="1" applyBorder="1" applyAlignment="1">
      <alignment horizontal="right" vertical="center"/>
    </xf>
    <xf numFmtId="0" fontId="2" fillId="2" borderId="0" xfId="0" applyFont="1" applyFill="1"/>
    <xf numFmtId="165" fontId="2" fillId="2" borderId="24" xfId="5" applyNumberFormat="1" applyFont="1" applyFill="1" applyBorder="1" applyAlignment="1">
      <alignment horizontal="right" vertical="center"/>
    </xf>
    <xf numFmtId="164" fontId="0" fillId="2" borderId="4" xfId="6" applyNumberFormat="1" applyFont="1" applyFill="1" applyBorder="1" applyAlignment="1">
      <alignment horizontal="right" vertical="center"/>
    </xf>
    <xf numFmtId="0" fontId="13" fillId="2" borderId="0" xfId="3" applyFont="1" applyFill="1" applyBorder="1"/>
    <xf numFmtId="0" fontId="2" fillId="2" borderId="0" xfId="0" applyFont="1" applyFill="1" applyBorder="1"/>
    <xf numFmtId="165" fontId="1" fillId="2" borderId="0" xfId="5" applyNumberFormat="1" applyFont="1" applyFill="1" applyBorder="1" applyAlignment="1">
      <alignment horizontal="right" vertical="center"/>
    </xf>
    <xf numFmtId="164" fontId="1" fillId="2" borderId="0" xfId="6" applyNumberFormat="1" applyFont="1" applyFill="1" applyBorder="1" applyAlignment="1">
      <alignment horizontal="right" vertical="center"/>
    </xf>
    <xf numFmtId="164" fontId="0" fillId="2" borderId="0" xfId="0" applyNumberFormat="1" applyFont="1" applyFill="1" applyBorder="1" applyAlignment="1">
      <alignment horizontal="right" vertical="center"/>
    </xf>
    <xf numFmtId="0" fontId="2" fillId="2" borderId="3" xfId="0" applyFont="1" applyFill="1" applyBorder="1"/>
    <xf numFmtId="165" fontId="1" fillId="2" borderId="5" xfId="5" applyNumberFormat="1" applyFont="1" applyFill="1" applyBorder="1" applyAlignment="1">
      <alignment horizontal="right" vertical="center"/>
    </xf>
    <xf numFmtId="164" fontId="1" fillId="2" borderId="26" xfId="6" applyNumberFormat="1" applyFont="1" applyFill="1" applyBorder="1" applyAlignment="1">
      <alignment horizontal="right" vertical="center"/>
    </xf>
    <xf numFmtId="165" fontId="2" fillId="2" borderId="27" xfId="5" applyNumberFormat="1" applyFont="1" applyFill="1" applyBorder="1" applyAlignment="1">
      <alignment horizontal="right" vertical="center"/>
    </xf>
    <xf numFmtId="164" fontId="0" fillId="2" borderId="8" xfId="6" applyNumberFormat="1" applyFont="1" applyFill="1" applyBorder="1" applyAlignment="1">
      <alignment horizontal="right" vertical="center"/>
    </xf>
    <xf numFmtId="164" fontId="0" fillId="2" borderId="19" xfId="0" applyNumberFormat="1" applyFill="1" applyBorder="1" applyAlignment="1">
      <alignment horizontal="right" vertical="center"/>
    </xf>
    <xf numFmtId="164" fontId="0" fillId="2" borderId="25" xfId="0" applyNumberFormat="1" applyFont="1" applyFill="1" applyBorder="1" applyAlignment="1">
      <alignment horizontal="right" vertical="center"/>
    </xf>
    <xf numFmtId="164" fontId="0" fillId="2" borderId="28" xfId="0" applyNumberFormat="1" applyFill="1" applyBorder="1" applyAlignment="1">
      <alignment horizontal="right" vertical="center"/>
    </xf>
    <xf numFmtId="164" fontId="0" fillId="2" borderId="20" xfId="6" applyNumberFormat="1" applyFont="1" applyFill="1" applyBorder="1" applyAlignment="1">
      <alignment horizontal="right" vertical="center"/>
    </xf>
    <xf numFmtId="164" fontId="0" fillId="2" borderId="28" xfId="6" applyNumberFormat="1" applyFont="1" applyFill="1" applyBorder="1" applyAlignment="1">
      <alignment horizontal="right" vertical="center"/>
    </xf>
    <xf numFmtId="0" fontId="12" fillId="2" borderId="0" xfId="10" applyFill="1"/>
    <xf numFmtId="0" fontId="7" fillId="2" borderId="0" xfId="0" applyFont="1" applyFill="1"/>
    <xf numFmtId="165" fontId="2" fillId="2" borderId="6" xfId="5" applyNumberFormat="1" applyFont="1" applyFill="1" applyBorder="1" applyAlignment="1"/>
    <xf numFmtId="165" fontId="0" fillId="2" borderId="4" xfId="5" applyNumberFormat="1" applyFont="1" applyFill="1" applyBorder="1" applyAlignment="1"/>
    <xf numFmtId="164" fontId="0" fillId="2" borderId="16" xfId="6" applyNumberFormat="1" applyFont="1" applyFill="1" applyBorder="1" applyAlignment="1"/>
    <xf numFmtId="164" fontId="0" fillId="2" borderId="19" xfId="0" applyNumberFormat="1" applyFill="1" applyBorder="1" applyAlignment="1"/>
    <xf numFmtId="165" fontId="0" fillId="2" borderId="6" xfId="5" applyNumberFormat="1" applyFont="1" applyFill="1" applyBorder="1" applyAlignment="1"/>
    <xf numFmtId="165" fontId="2" fillId="2" borderId="9" xfId="5" applyNumberFormat="1" applyFont="1" applyFill="1" applyBorder="1" applyAlignment="1"/>
    <xf numFmtId="165" fontId="1" fillId="2" borderId="9" xfId="5" applyNumberFormat="1" applyFont="1" applyFill="1" applyBorder="1" applyAlignment="1"/>
    <xf numFmtId="164" fontId="0" fillId="2" borderId="28" xfId="0" applyNumberFormat="1" applyFill="1" applyBorder="1" applyAlignment="1">
      <alignment horizontal="right"/>
    </xf>
    <xf numFmtId="165" fontId="2" fillId="2" borderId="6" xfId="5" applyNumberFormat="1" applyFont="1" applyFill="1" applyBorder="1" applyAlignment="1">
      <alignment horizontal="right"/>
    </xf>
    <xf numFmtId="0" fontId="0" fillId="5" borderId="2" xfId="0" applyFill="1" applyBorder="1"/>
    <xf numFmtId="165" fontId="2" fillId="5" borderId="6" xfId="5" applyNumberFormat="1" applyFont="1" applyFill="1" applyBorder="1" applyAlignment="1">
      <alignment horizontal="right" vertical="center"/>
    </xf>
    <xf numFmtId="165" fontId="0" fillId="5" borderId="4" xfId="5" applyNumberFormat="1" applyFont="1" applyFill="1" applyBorder="1" applyAlignment="1">
      <alignment horizontal="right" vertical="center"/>
    </xf>
    <xf numFmtId="164" fontId="0" fillId="5" borderId="16" xfId="6" applyNumberFormat="1" applyFont="1" applyFill="1" applyBorder="1" applyAlignment="1">
      <alignment horizontal="right" vertical="center"/>
    </xf>
    <xf numFmtId="164" fontId="0" fillId="5" borderId="19" xfId="0" applyNumberFormat="1" applyFill="1" applyBorder="1" applyAlignment="1">
      <alignment horizontal="right" vertical="center"/>
    </xf>
    <xf numFmtId="164" fontId="1" fillId="2" borderId="21" xfId="6" applyNumberFormat="1" applyFont="1" applyFill="1" applyBorder="1" applyAlignment="1">
      <alignment horizontal="right" vertical="center"/>
    </xf>
    <xf numFmtId="164" fontId="1" fillId="2" borderId="20" xfId="6" applyNumberFormat="1" applyFont="1" applyFill="1" applyBorder="1" applyAlignment="1">
      <alignment horizontal="right" vertical="center"/>
    </xf>
    <xf numFmtId="0" fontId="12" fillId="0" borderId="0" xfId="10"/>
    <xf numFmtId="0" fontId="3" fillId="2" borderId="0" xfId="0" applyFont="1" applyFill="1"/>
    <xf numFmtId="0" fontId="5" fillId="2" borderId="0" xfId="0" applyFont="1" applyFill="1"/>
    <xf numFmtId="0" fontId="3" fillId="0" borderId="0" xfId="0" applyFont="1" applyBorder="1" applyAlignment="1">
      <alignment horizontal="left" vertical="top" wrapText="1"/>
    </xf>
    <xf numFmtId="0" fontId="9" fillId="4" borderId="23" xfId="0" applyFont="1" applyFill="1" applyBorder="1" applyAlignment="1">
      <alignment horizontal="left" vertical="center"/>
    </xf>
    <xf numFmtId="164" fontId="0" fillId="2" borderId="16" xfId="0" applyNumberFormat="1" applyFill="1" applyBorder="1" applyAlignment="1"/>
    <xf numFmtId="164" fontId="0" fillId="2" borderId="17" xfId="0" applyNumberFormat="1" applyFill="1" applyBorder="1" applyAlignment="1">
      <alignment horizontal="right"/>
    </xf>
    <xf numFmtId="164" fontId="0" fillId="2" borderId="29" xfId="6" applyNumberFormat="1" applyFont="1" applyFill="1" applyBorder="1" applyAlignment="1">
      <alignment horizontal="right" vertical="center"/>
    </xf>
    <xf numFmtId="0" fontId="0" fillId="3" borderId="11" xfId="0" applyNumberFormat="1" applyFill="1" applyBorder="1" applyAlignment="1">
      <alignment horizontal="right" vertical="center" wrapText="1"/>
    </xf>
    <xf numFmtId="165" fontId="2" fillId="2" borderId="30" xfId="5" applyNumberFormat="1" applyFont="1" applyFill="1" applyBorder="1" applyAlignment="1"/>
    <xf numFmtId="165" fontId="2" fillId="2" borderId="30" xfId="5" applyNumberFormat="1" applyFont="1" applyFill="1" applyBorder="1" applyAlignment="1">
      <alignment horizontal="right"/>
    </xf>
    <xf numFmtId="165" fontId="2" fillId="2" borderId="31" xfId="5" applyNumberFormat="1" applyFont="1" applyFill="1" applyBorder="1" applyAlignment="1"/>
    <xf numFmtId="165" fontId="2" fillId="2" borderId="32" xfId="5" applyNumberFormat="1" applyFont="1" applyFill="1" applyBorder="1" applyAlignment="1">
      <alignment horizontal="right" vertical="center"/>
    </xf>
    <xf numFmtId="164" fontId="0" fillId="2" borderId="16" xfId="0" applyNumberFormat="1" applyFill="1" applyBorder="1" applyAlignment="1">
      <alignment horizontal="right" vertical="center"/>
    </xf>
    <xf numFmtId="164" fontId="0" fillId="2" borderId="17" xfId="0" applyNumberFormat="1" applyFill="1" applyBorder="1" applyAlignment="1">
      <alignment horizontal="right" vertical="center"/>
    </xf>
    <xf numFmtId="164" fontId="1" fillId="2" borderId="29" xfId="6" applyNumberFormat="1" applyFont="1" applyFill="1" applyBorder="1" applyAlignment="1">
      <alignment horizontal="right" vertical="center"/>
    </xf>
    <xf numFmtId="165" fontId="2" fillId="2" borderId="30" xfId="5" applyNumberFormat="1" applyFont="1" applyFill="1" applyBorder="1" applyAlignment="1">
      <alignment horizontal="right" vertical="center"/>
    </xf>
    <xf numFmtId="165" fontId="2" fillId="2" borderId="31" xfId="5" applyNumberFormat="1" applyFont="1" applyFill="1" applyBorder="1" applyAlignment="1">
      <alignment horizontal="right" vertical="center"/>
    </xf>
    <xf numFmtId="164" fontId="0" fillId="5" borderId="16" xfId="0" applyNumberFormat="1" applyFill="1" applyBorder="1" applyAlignment="1">
      <alignment horizontal="right" vertical="center"/>
    </xf>
    <xf numFmtId="164" fontId="0" fillId="2" borderId="26" xfId="0" applyNumberFormat="1" applyFont="1" applyFill="1" applyBorder="1" applyAlignment="1">
      <alignment horizontal="right" vertical="center"/>
    </xf>
    <xf numFmtId="165" fontId="2" fillId="5" borderId="30" xfId="5" applyNumberFormat="1" applyFont="1" applyFill="1" applyBorder="1" applyAlignment="1">
      <alignment horizontal="right" vertical="center"/>
    </xf>
    <xf numFmtId="0" fontId="3" fillId="9" borderId="0" xfId="0" applyFont="1" applyFill="1" applyBorder="1" applyAlignment="1">
      <alignment horizontal="left" vertical="top" wrapText="1"/>
    </xf>
    <xf numFmtId="0" fontId="13" fillId="7" borderId="0" xfId="0" applyFont="1" applyFill="1" applyBorder="1" applyAlignment="1">
      <alignment horizontal="left" vertical="top" wrapText="1"/>
    </xf>
    <xf numFmtId="0" fontId="3" fillId="7" borderId="0" xfId="0" applyFont="1" applyFill="1" applyBorder="1" applyAlignment="1">
      <alignment horizontal="left" vertical="top" wrapText="1"/>
    </xf>
    <xf numFmtId="0" fontId="13" fillId="6" borderId="0" xfId="0" applyFont="1" applyFill="1" applyBorder="1" applyAlignment="1">
      <alignment horizontal="left" vertical="top" wrapText="1"/>
    </xf>
    <xf numFmtId="0" fontId="3" fillId="7" borderId="0" xfId="0" applyFont="1" applyFill="1" applyBorder="1" applyAlignment="1" applyProtection="1">
      <alignment horizontal="left" vertical="top" wrapText="1"/>
      <protection locked="0"/>
    </xf>
    <xf numFmtId="0" fontId="3" fillId="8" borderId="0" xfId="0" applyFont="1" applyFill="1" applyBorder="1" applyAlignment="1">
      <alignment horizontal="left" vertical="center" wrapText="1"/>
    </xf>
    <xf numFmtId="0" fontId="3" fillId="9" borderId="0" xfId="0" applyFont="1" applyFill="1" applyBorder="1" applyAlignment="1">
      <alignment wrapText="1"/>
    </xf>
    <xf numFmtId="0" fontId="5" fillId="2" borderId="0" xfId="1" applyFont="1" applyFill="1" applyBorder="1" applyAlignment="1">
      <alignment horizontal="left" vertical="top" wrapText="1"/>
    </xf>
    <xf numFmtId="0" fontId="0" fillId="2" borderId="0" xfId="0" applyFill="1" applyBorder="1"/>
    <xf numFmtId="0" fontId="0" fillId="2" borderId="0" xfId="0" applyNumberFormat="1" applyFill="1" applyBorder="1" applyAlignment="1">
      <alignment horizontal="right" vertical="center" wrapText="1"/>
    </xf>
    <xf numFmtId="165" fontId="0" fillId="2" borderId="0" xfId="5" applyNumberFormat="1" applyFont="1" applyFill="1" applyBorder="1" applyAlignment="1">
      <alignment horizontal="right" vertical="center"/>
    </xf>
    <xf numFmtId="164" fontId="0" fillId="2" borderId="0" xfId="6" applyNumberFormat="1" applyFont="1" applyFill="1" applyBorder="1" applyAlignment="1">
      <alignment horizontal="right" vertical="center"/>
    </xf>
    <xf numFmtId="164" fontId="0" fillId="2" borderId="0" xfId="0" applyNumberFormat="1" applyFill="1" applyBorder="1" applyAlignment="1">
      <alignment horizontal="right" vertical="center"/>
    </xf>
    <xf numFmtId="165" fontId="2" fillId="2" borderId="0" xfId="5" applyNumberFormat="1" applyFont="1" applyFill="1" applyBorder="1" applyAlignment="1"/>
    <xf numFmtId="165" fontId="0" fillId="2" borderId="0" xfId="5" applyNumberFormat="1" applyFont="1" applyFill="1" applyBorder="1" applyAlignment="1"/>
    <xf numFmtId="164" fontId="0" fillId="2" borderId="0" xfId="6" applyNumberFormat="1" applyFont="1" applyFill="1" applyBorder="1" applyAlignment="1"/>
    <xf numFmtId="164" fontId="0" fillId="2" borderId="0" xfId="0" applyNumberFormat="1" applyFill="1" applyBorder="1" applyAlignment="1"/>
    <xf numFmtId="0" fontId="3" fillId="7" borderId="34" xfId="0" applyFont="1" applyFill="1" applyBorder="1" applyAlignment="1">
      <alignment horizontal="left" vertical="top" wrapText="1"/>
    </xf>
    <xf numFmtId="0" fontId="0" fillId="5" borderId="1" xfId="0" applyFill="1" applyBorder="1"/>
    <xf numFmtId="0" fontId="13" fillId="10" borderId="0" xfId="0" applyFont="1" applyFill="1" applyBorder="1" applyAlignment="1">
      <alignment horizontal="left" vertical="top" wrapText="1"/>
    </xf>
    <xf numFmtId="0" fontId="13" fillId="10" borderId="0" xfId="0" applyFont="1" applyFill="1" applyBorder="1" applyAlignment="1" applyProtection="1">
      <alignment horizontal="left" vertical="top" wrapText="1"/>
      <protection locked="0"/>
    </xf>
    <xf numFmtId="0" fontId="3" fillId="10" borderId="0" xfId="0" applyFont="1" applyFill="1" applyBorder="1" applyAlignment="1">
      <alignment horizontal="left" vertical="top" wrapText="1"/>
    </xf>
    <xf numFmtId="0" fontId="3" fillId="10" borderId="0" xfId="0" applyFont="1" applyFill="1" applyBorder="1" applyAlignment="1">
      <alignment horizontal="right" vertical="top" wrapText="1"/>
    </xf>
    <xf numFmtId="0" fontId="16" fillId="10" borderId="33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11" borderId="0" xfId="0" applyFont="1" applyFill="1" applyBorder="1" applyAlignment="1">
      <alignment horizontal="left" vertical="top" wrapText="1"/>
    </xf>
    <xf numFmtId="0" fontId="17" fillId="11" borderId="0" xfId="0" applyFont="1" applyFill="1" applyBorder="1" applyAlignment="1">
      <alignment horizontal="left" vertical="top" wrapText="1"/>
    </xf>
    <xf numFmtId="0" fontId="9" fillId="8" borderId="0" xfId="0" applyFont="1" applyFill="1" applyAlignment="1">
      <alignment horizontal="left" vertical="center"/>
    </xf>
    <xf numFmtId="0" fontId="18" fillId="8" borderId="0" xfId="0" applyFont="1" applyFill="1" applyAlignment="1">
      <alignment horizontal="left" vertical="top"/>
    </xf>
    <xf numFmtId="165" fontId="18" fillId="8" borderId="0" xfId="5" applyNumberFormat="1" applyFont="1" applyFill="1" applyBorder="1" applyAlignment="1" applyProtection="1">
      <alignment horizontal="left" vertical="top"/>
    </xf>
    <xf numFmtId="0" fontId="1" fillId="2" borderId="0" xfId="0" applyFont="1" applyFill="1"/>
    <xf numFmtId="0" fontId="5" fillId="2" borderId="0" xfId="1" applyFont="1" applyFill="1" applyBorder="1" applyAlignment="1">
      <alignment horizontal="left" vertical="top" wrapText="1"/>
    </xf>
    <xf numFmtId="165" fontId="2" fillId="2" borderId="35" xfId="5" applyNumberFormat="1" applyFont="1" applyFill="1" applyBorder="1" applyAlignment="1">
      <alignment horizontal="right" vertical="center"/>
    </xf>
    <xf numFmtId="165" fontId="0" fillId="2" borderId="21" xfId="5" applyNumberFormat="1" applyFont="1" applyFill="1" applyBorder="1" applyAlignment="1">
      <alignment horizontal="right" vertical="center"/>
    </xf>
    <xf numFmtId="0" fontId="19" fillId="4" borderId="1" xfId="0" applyFont="1" applyFill="1" applyBorder="1" applyAlignment="1">
      <alignment horizontal="left" vertical="center"/>
    </xf>
    <xf numFmtId="0" fontId="9" fillId="4" borderId="38" xfId="0" applyFont="1" applyFill="1" applyBorder="1" applyAlignment="1">
      <alignment horizontal="left" vertical="center"/>
    </xf>
    <xf numFmtId="17" fontId="0" fillId="2" borderId="0" xfId="0" applyNumberFormat="1" applyFill="1" applyBorder="1" applyAlignment="1">
      <alignment horizontal="right" vertical="center" wrapText="1"/>
    </xf>
    <xf numFmtId="17" fontId="2" fillId="3" borderId="36" xfId="0" applyNumberFormat="1" applyFont="1" applyFill="1" applyBorder="1" applyAlignment="1">
      <alignment horizontal="left" vertical="center" wrapText="1"/>
    </xf>
    <xf numFmtId="165" fontId="1" fillId="2" borderId="37" xfId="5" applyNumberFormat="1" applyFont="1" applyFill="1" applyBorder="1" applyAlignment="1">
      <alignment horizontal="left" vertical="center"/>
    </xf>
    <xf numFmtId="17" fontId="2" fillId="3" borderId="11" xfId="0" applyNumberFormat="1" applyFont="1" applyFill="1" applyBorder="1" applyAlignment="1">
      <alignment horizontal="left" vertical="center" wrapText="1"/>
    </xf>
    <xf numFmtId="165" fontId="1" fillId="2" borderId="39" xfId="5" applyNumberFormat="1" applyFont="1" applyFill="1" applyBorder="1" applyAlignment="1">
      <alignment horizontal="left" vertical="center"/>
    </xf>
    <xf numFmtId="165" fontId="1" fillId="2" borderId="0" xfId="5" applyNumberFormat="1" applyFont="1" applyFill="1" applyBorder="1" applyAlignment="1">
      <alignment horizontal="left" vertical="center"/>
    </xf>
    <xf numFmtId="165" fontId="0" fillId="2" borderId="17" xfId="5" applyNumberFormat="1" applyFont="1" applyFill="1" applyBorder="1" applyAlignment="1">
      <alignment horizontal="right" vertical="center"/>
    </xf>
    <xf numFmtId="0" fontId="0" fillId="2" borderId="1" xfId="0" applyFill="1" applyBorder="1"/>
    <xf numFmtId="0" fontId="5" fillId="2" borderId="0" xfId="1" applyFont="1" applyFill="1" applyBorder="1" applyAlignment="1">
      <alignment horizontal="left" vertical="top" wrapText="1"/>
    </xf>
  </cellXfs>
  <cellStyles count="13">
    <cellStyle name="Komma" xfId="5" builtinId="3"/>
    <cellStyle name="Komma 2" xfId="12" xr:uid="{00000000-0005-0000-0000-000001000000}"/>
    <cellStyle name="Link" xfId="10" builtinId="8"/>
    <cellStyle name="Prozent" xfId="6" builtinId="5"/>
    <cellStyle name="Prozent 2" xfId="7" xr:uid="{00000000-0005-0000-0000-000004000000}"/>
    <cellStyle name="Standard" xfId="0" builtinId="0"/>
    <cellStyle name="Standard 2" xfId="2" xr:uid="{00000000-0005-0000-0000-000006000000}"/>
    <cellStyle name="Standard 2 2" xfId="4" xr:uid="{00000000-0005-0000-0000-000007000000}"/>
    <cellStyle name="Standard 2 3" xfId="8" xr:uid="{00000000-0005-0000-0000-000008000000}"/>
    <cellStyle name="Standard 3" xfId="1" xr:uid="{00000000-0005-0000-0000-000009000000}"/>
    <cellStyle name="Standard 3 2" xfId="9" xr:uid="{00000000-0005-0000-0000-00000A000000}"/>
    <cellStyle name="Standard 4" xfId="3" xr:uid="{00000000-0005-0000-0000-00000B000000}"/>
    <cellStyle name="Standard 5" xfId="11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0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1" name="Option Button 1" hidden="1">
                <a:extLst>
                  <a:ext uri="{63B3BB69-23CF-44E3-9099-C40C66FF867C}">
                    <a14:compatExt spid="_x0000_s15361"/>
                  </a:ext>
                  <a:ext uri="{FF2B5EF4-FFF2-40B4-BE49-F238E27FC236}">
                    <a16:creationId xmlns:a16="http://schemas.microsoft.com/office/drawing/2014/main" id="{00000000-0008-0000-0000-0000013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2" name="Option Button 2" hidden="1">
                <a:extLst>
                  <a:ext uri="{63B3BB69-23CF-44E3-9099-C40C66FF867C}">
                    <a14:compatExt spid="_x0000_s15362"/>
                  </a:ext>
                  <a:ext uri="{FF2B5EF4-FFF2-40B4-BE49-F238E27FC236}">
                    <a16:creationId xmlns:a16="http://schemas.microsoft.com/office/drawing/2014/main" id="{00000000-0008-0000-0000-0000023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3" name="Option Button 3" hidden="1">
                <a:extLst>
                  <a:ext uri="{63B3BB69-23CF-44E3-9099-C40C66FF867C}">
                    <a14:compatExt spid="_x0000_s15363"/>
                  </a:ext>
                  <a:ext uri="{FF2B5EF4-FFF2-40B4-BE49-F238E27FC236}">
                    <a16:creationId xmlns:a16="http://schemas.microsoft.com/office/drawing/2014/main" id="{00000000-0008-0000-0000-0000033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5" name="Option Button 1" hidden="1">
                <a:extLst>
                  <a:ext uri="{63B3BB69-23CF-44E3-9099-C40C66FF867C}">
                    <a14:compatExt spid="_x0000_s6145"/>
                  </a:ext>
                  <a:ext uri="{FF2B5EF4-FFF2-40B4-BE49-F238E27FC236}">
                    <a16:creationId xmlns:a16="http://schemas.microsoft.com/office/drawing/2014/main" id="{00000000-0008-0000-0900-0000011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6" name="Option Button 2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900-0000021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7" name="Option Button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900-0000031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7" name="Option Button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A00-0000011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8" name="Option Button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A00-0000021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9" name="Option Button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A00-0000031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34925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466725</xdr:colOff>
      <xdr:row>0</xdr:row>
      <xdr:rowOff>19050</xdr:rowOff>
    </xdr:from>
    <xdr:to>
      <xdr:col>8</xdr:col>
      <xdr:colOff>410189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00675" y="19050"/>
          <a:ext cx="244853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3" name="Option Button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B00-0000010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4" name="Option Button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B00-0000020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5" name="Option Button 3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B00-0000030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2663825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2</xdr:col>
      <xdr:colOff>2686050</xdr:colOff>
      <xdr:row>0</xdr:row>
      <xdr:rowOff>19050</xdr:rowOff>
    </xdr:from>
    <xdr:to>
      <xdr:col>5</xdr:col>
      <xdr:colOff>600689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44853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8673" name="Option Button 1" hidden="1">
                <a:extLst>
                  <a:ext uri="{63B3BB69-23CF-44E3-9099-C40C66FF867C}">
                    <a14:compatExt spid="_x0000_s28673"/>
                  </a:ext>
                  <a:ext uri="{FF2B5EF4-FFF2-40B4-BE49-F238E27FC236}">
                    <a16:creationId xmlns:a16="http://schemas.microsoft.com/office/drawing/2014/main" id="{00000000-0008-0000-0C00-0000017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8674" name="Option Button 2" hidden="1">
                <a:extLst>
                  <a:ext uri="{63B3BB69-23CF-44E3-9099-C40C66FF867C}">
                    <a14:compatExt spid="_x0000_s28674"/>
                  </a:ext>
                  <a:ext uri="{FF2B5EF4-FFF2-40B4-BE49-F238E27FC236}">
                    <a16:creationId xmlns:a16="http://schemas.microsoft.com/office/drawing/2014/main" id="{00000000-0008-0000-0C00-0000027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8675" name="Option Button 3" hidden="1">
                <a:extLst>
                  <a:ext uri="{63B3BB69-23CF-44E3-9099-C40C66FF867C}">
                    <a14:compatExt spid="_x0000_s28675"/>
                  </a:ext>
                  <a:ext uri="{FF2B5EF4-FFF2-40B4-BE49-F238E27FC236}">
                    <a16:creationId xmlns:a16="http://schemas.microsoft.com/office/drawing/2014/main" id="{00000000-0008-0000-0C00-0000037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7" name="Option Button 1" hidden="1">
                <a:extLst>
                  <a:ext uri="{63B3BB69-23CF-44E3-9099-C40C66FF867C}">
                    <a14:compatExt spid="_x0000_s14337"/>
                  </a:ext>
                  <a:ext uri="{FF2B5EF4-FFF2-40B4-BE49-F238E27FC236}">
                    <a16:creationId xmlns:a16="http://schemas.microsoft.com/office/drawing/2014/main" id="{00000000-0008-0000-0100-0000013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8" name="Option Button 2" hidden="1">
                <a:extLst>
                  <a:ext uri="{63B3BB69-23CF-44E3-9099-C40C66FF867C}">
                    <a14:compatExt spid="_x0000_s14338"/>
                  </a:ext>
                  <a:ext uri="{FF2B5EF4-FFF2-40B4-BE49-F238E27FC236}">
                    <a16:creationId xmlns:a16="http://schemas.microsoft.com/office/drawing/2014/main" id="{00000000-0008-0000-0100-0000023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9" name="Option Button 3" hidden="1">
                <a:extLst>
                  <a:ext uri="{63B3BB69-23CF-44E3-9099-C40C66FF867C}">
                    <a14:compatExt spid="_x0000_s14339"/>
                  </a:ext>
                  <a:ext uri="{FF2B5EF4-FFF2-40B4-BE49-F238E27FC236}">
                    <a16:creationId xmlns:a16="http://schemas.microsoft.com/office/drawing/2014/main" id="{00000000-0008-0000-0100-0000033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3" name="Option Button 1" hidden="1">
                <a:extLst>
                  <a:ext uri="{63B3BB69-23CF-44E3-9099-C40C66FF867C}">
                    <a14:compatExt spid="_x0000_s13313"/>
                  </a:ext>
                  <a:ext uri="{FF2B5EF4-FFF2-40B4-BE49-F238E27FC236}">
                    <a16:creationId xmlns:a16="http://schemas.microsoft.com/office/drawing/2014/main" id="{00000000-0008-0000-0200-0000013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4" name="Option Button 2" hidden="1">
                <a:extLst>
                  <a:ext uri="{63B3BB69-23CF-44E3-9099-C40C66FF867C}">
                    <a14:compatExt spid="_x0000_s13314"/>
                  </a:ext>
                  <a:ext uri="{FF2B5EF4-FFF2-40B4-BE49-F238E27FC236}">
                    <a16:creationId xmlns:a16="http://schemas.microsoft.com/office/drawing/2014/main" id="{00000000-0008-0000-0200-0000023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5" name="Option Button 3" hidden="1">
                <a:extLst>
                  <a:ext uri="{63B3BB69-23CF-44E3-9099-C40C66FF867C}">
                    <a14:compatExt spid="_x0000_s13315"/>
                  </a:ext>
                  <a:ext uri="{FF2B5EF4-FFF2-40B4-BE49-F238E27FC236}">
                    <a16:creationId xmlns:a16="http://schemas.microsoft.com/office/drawing/2014/main" id="{00000000-0008-0000-0200-0000033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89" name="Option Button 1" hidden="1">
                <a:extLst>
                  <a:ext uri="{63B3BB69-23CF-44E3-9099-C40C66FF867C}">
                    <a14:compatExt spid="_x0000_s12289"/>
                  </a:ext>
                  <a:ext uri="{FF2B5EF4-FFF2-40B4-BE49-F238E27FC236}">
                    <a16:creationId xmlns:a16="http://schemas.microsoft.com/office/drawing/2014/main" id="{00000000-0008-0000-0300-0000013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90" name="Option Button 2" hidden="1">
                <a:extLst>
                  <a:ext uri="{63B3BB69-23CF-44E3-9099-C40C66FF867C}">
                    <a14:compatExt spid="_x0000_s12290"/>
                  </a:ext>
                  <a:ext uri="{FF2B5EF4-FFF2-40B4-BE49-F238E27FC236}">
                    <a16:creationId xmlns:a16="http://schemas.microsoft.com/office/drawing/2014/main" id="{00000000-0008-0000-0300-0000023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91" name="Option Button 3" hidden="1">
                <a:extLst>
                  <a:ext uri="{63B3BB69-23CF-44E3-9099-C40C66FF867C}">
                    <a14:compatExt spid="_x0000_s12291"/>
                  </a:ext>
                  <a:ext uri="{FF2B5EF4-FFF2-40B4-BE49-F238E27FC236}">
                    <a16:creationId xmlns:a16="http://schemas.microsoft.com/office/drawing/2014/main" id="{00000000-0008-0000-0300-0000033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5" name="Option Button 1" hidden="1">
                <a:extLst>
                  <a:ext uri="{63B3BB69-23CF-44E3-9099-C40C66FF867C}">
                    <a14:compatExt spid="_x0000_s11265"/>
                  </a:ext>
                  <a:ext uri="{FF2B5EF4-FFF2-40B4-BE49-F238E27FC236}">
                    <a16:creationId xmlns:a16="http://schemas.microsoft.com/office/drawing/2014/main" id="{00000000-0008-0000-0400-0000012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6" name="Option Button 2" hidden="1">
                <a:extLst>
                  <a:ext uri="{63B3BB69-23CF-44E3-9099-C40C66FF867C}">
                    <a14:compatExt spid="_x0000_s11266"/>
                  </a:ext>
                  <a:ext uri="{FF2B5EF4-FFF2-40B4-BE49-F238E27FC236}">
                    <a16:creationId xmlns:a16="http://schemas.microsoft.com/office/drawing/2014/main" id="{00000000-0008-0000-0400-0000022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7" name="Option Button 3" hidden="1">
                <a:extLst>
                  <a:ext uri="{63B3BB69-23CF-44E3-9099-C40C66FF867C}">
                    <a14:compatExt spid="_x0000_s11267"/>
                  </a:ext>
                  <a:ext uri="{FF2B5EF4-FFF2-40B4-BE49-F238E27FC236}">
                    <a16:creationId xmlns:a16="http://schemas.microsoft.com/office/drawing/2014/main" id="{00000000-0008-0000-0400-0000032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1" name="Option Button 1" hidden="1">
                <a:extLst>
                  <a:ext uri="{63B3BB69-23CF-44E3-9099-C40C66FF867C}">
                    <a14:compatExt spid="_x0000_s10241"/>
                  </a:ext>
                  <a:ext uri="{FF2B5EF4-FFF2-40B4-BE49-F238E27FC236}">
                    <a16:creationId xmlns:a16="http://schemas.microsoft.com/office/drawing/2014/main" id="{00000000-0008-0000-0500-0000012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2" name="Option Button 2" hidden="1">
                <a:extLst>
                  <a:ext uri="{63B3BB69-23CF-44E3-9099-C40C66FF867C}">
                    <a14:compatExt spid="_x0000_s10242"/>
                  </a:ext>
                  <a:ext uri="{FF2B5EF4-FFF2-40B4-BE49-F238E27FC236}">
                    <a16:creationId xmlns:a16="http://schemas.microsoft.com/office/drawing/2014/main" id="{00000000-0008-0000-0500-0000022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3" name="Option Button 3" hidden="1">
                <a:extLst>
                  <a:ext uri="{63B3BB69-23CF-44E3-9099-C40C66FF867C}">
                    <a14:compatExt spid="_x0000_s10243"/>
                  </a:ext>
                  <a:ext uri="{FF2B5EF4-FFF2-40B4-BE49-F238E27FC236}">
                    <a16:creationId xmlns:a16="http://schemas.microsoft.com/office/drawing/2014/main" id="{00000000-0008-0000-0500-0000032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7" name="Option Button 1" hidden="1">
                <a:extLst>
                  <a:ext uri="{63B3BB69-23CF-44E3-9099-C40C66FF867C}">
                    <a14:compatExt spid="_x0000_s9217"/>
                  </a:ext>
                  <a:ext uri="{FF2B5EF4-FFF2-40B4-BE49-F238E27FC236}">
                    <a16:creationId xmlns:a16="http://schemas.microsoft.com/office/drawing/2014/main" id="{00000000-0008-0000-0600-0000012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8" name="Option Button 2" hidden="1">
                <a:extLst>
                  <a:ext uri="{63B3BB69-23CF-44E3-9099-C40C66FF867C}">
                    <a14:compatExt spid="_x0000_s9218"/>
                  </a:ext>
                  <a:ext uri="{FF2B5EF4-FFF2-40B4-BE49-F238E27FC236}">
                    <a16:creationId xmlns:a16="http://schemas.microsoft.com/office/drawing/2014/main" id="{00000000-0008-0000-0600-0000022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9" name="Option Button 3" hidden="1">
                <a:extLst>
                  <a:ext uri="{63B3BB69-23CF-44E3-9099-C40C66FF867C}">
                    <a14:compatExt spid="_x0000_s9219"/>
                  </a:ext>
                  <a:ext uri="{FF2B5EF4-FFF2-40B4-BE49-F238E27FC236}">
                    <a16:creationId xmlns:a16="http://schemas.microsoft.com/office/drawing/2014/main" id="{00000000-0008-0000-0600-0000032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3" name="Option Button 1" hidden="1">
                <a:extLst>
                  <a:ext uri="{63B3BB69-23CF-44E3-9099-C40C66FF867C}">
                    <a14:compatExt spid="_x0000_s8193"/>
                  </a:ext>
                  <a:ext uri="{FF2B5EF4-FFF2-40B4-BE49-F238E27FC236}">
                    <a16:creationId xmlns:a16="http://schemas.microsoft.com/office/drawing/2014/main" id="{00000000-0008-0000-0700-00000120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4" name="Option Button 2" hidden="1">
                <a:extLst>
                  <a:ext uri="{63B3BB69-23CF-44E3-9099-C40C66FF867C}">
                    <a14:compatExt spid="_x0000_s8194"/>
                  </a:ext>
                  <a:ext uri="{FF2B5EF4-FFF2-40B4-BE49-F238E27FC236}">
                    <a16:creationId xmlns:a16="http://schemas.microsoft.com/office/drawing/2014/main" id="{00000000-0008-0000-0700-00000220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5" name="Option Button 3" hidden="1">
                <a:extLst>
                  <a:ext uri="{63B3BB69-23CF-44E3-9099-C40C66FF867C}">
                    <a14:compatExt spid="_x0000_s8195"/>
                  </a:ext>
                  <a:ext uri="{FF2B5EF4-FFF2-40B4-BE49-F238E27FC236}">
                    <a16:creationId xmlns:a16="http://schemas.microsoft.com/office/drawing/2014/main" id="{00000000-0008-0000-0700-00000320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69" name="Option Button 1" hidden="1">
                <a:extLst>
                  <a:ext uri="{63B3BB69-23CF-44E3-9099-C40C66FF867C}">
                    <a14:compatExt spid="_x0000_s7169"/>
                  </a:ext>
                  <a:ext uri="{FF2B5EF4-FFF2-40B4-BE49-F238E27FC236}">
                    <a16:creationId xmlns:a16="http://schemas.microsoft.com/office/drawing/2014/main" id="{00000000-0008-0000-0800-0000011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0" name="Option Button 2" hidden="1">
                <a:extLst>
                  <a:ext uri="{63B3BB69-23CF-44E3-9099-C40C66FF867C}">
                    <a14:compatExt spid="_x0000_s7170"/>
                  </a:ext>
                  <a:ext uri="{FF2B5EF4-FFF2-40B4-BE49-F238E27FC236}">
                    <a16:creationId xmlns:a16="http://schemas.microsoft.com/office/drawing/2014/main" id="{00000000-0008-0000-0800-0000021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1" name="Option Button 3" hidden="1">
                <a:extLst>
                  <a:ext uri="{63B3BB69-23CF-44E3-9099-C40C66FF867C}">
                    <a14:compatExt spid="_x0000_s7171"/>
                  </a:ext>
                  <a:ext uri="{FF2B5EF4-FFF2-40B4-BE49-F238E27FC236}">
                    <a16:creationId xmlns:a16="http://schemas.microsoft.com/office/drawing/2014/main" id="{00000000-0008-0000-0800-0000031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7" Type="http://schemas.openxmlformats.org/officeDocument/2006/relationships/ctrlProp" Target="../ctrlProps/ctrlProp3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29.xml"/><Relationship Id="rId5" Type="http://schemas.openxmlformats.org/officeDocument/2006/relationships/ctrlProp" Target="../ctrlProps/ctrlProp28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7" Type="http://schemas.openxmlformats.org/officeDocument/2006/relationships/ctrlProp" Target="../ctrlProps/ctrlProp3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32.xml"/><Relationship Id="rId5" Type="http://schemas.openxmlformats.org/officeDocument/2006/relationships/ctrlProp" Target="../ctrlProps/ctrlProp31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7" Type="http://schemas.openxmlformats.org/officeDocument/2006/relationships/ctrlProp" Target="../ctrlProps/ctrlProp36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35.xml"/><Relationship Id="rId5" Type="http://schemas.openxmlformats.org/officeDocument/2006/relationships/ctrlProp" Target="../ctrlProps/ctrlProp34.xml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39.xml"/><Relationship Id="rId5" Type="http://schemas.openxmlformats.org/officeDocument/2006/relationships/ctrlProp" Target="../ctrlProps/ctrlProp38.xml"/><Relationship Id="rId4" Type="http://schemas.openxmlformats.org/officeDocument/2006/relationships/ctrlProp" Target="../ctrlProps/ctrlProp3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1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1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7" Type="http://schemas.openxmlformats.org/officeDocument/2006/relationships/ctrlProp" Target="../ctrlProps/ctrlProp18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7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7" Type="http://schemas.openxmlformats.org/officeDocument/2006/relationships/ctrlProp" Target="../ctrlProps/ctrlProp24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7" Type="http://schemas.openxmlformats.org/officeDocument/2006/relationships/ctrlProp" Target="../ctrlProps/ctrlProp2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26.xml"/><Relationship Id="rId5" Type="http://schemas.openxmlformats.org/officeDocument/2006/relationships/ctrlProp" Target="../ctrlProps/ctrlProp25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3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3" t="str">
        <f>VLOOKUP("&lt;Fachbereich&gt;",Uebersetzungen!$B$4:$E$315,Uebersetzungen!$B$2+1,FALSE)</f>
        <v>Daten &amp; Statistik</v>
      </c>
      <c r="B7" s="133"/>
      <c r="C7" s="133"/>
      <c r="D7" s="133"/>
      <c r="E7" s="95"/>
      <c r="F7" s="1"/>
    </row>
    <row r="8" spans="1:10" ht="10.5" customHeight="1" x14ac:dyDescent="0.2"/>
    <row r="9" spans="1:10" ht="18" x14ac:dyDescent="0.25">
      <c r="A9" s="2" t="str">
        <f>VLOOKUP("&lt;T12Titel1&gt;",Uebersetzungen!$B$4:$E$315,Uebersetzungen!$B$2+1,FALSE)</f>
        <v>Hotel- und Kurbetriebe: Logiernächte im Dezember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VLOOKUP("&lt;T12SpaltenTitel_1&gt;",Uebersetzungen!$B$4:$E$315,Uebersetzungen!$B$2+1,FALSE)</f>
        <v>Dezember 2025</v>
      </c>
      <c r="D12" s="21" t="str">
        <f>VLOOKUP("&lt;T12SpaltenTitel_2&gt;",Uebersetzungen!$B$4:$E$315,Uebersetzungen!$B$2+1,FALSE)</f>
        <v>Dezember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VLOOKUP("&lt;T12SpaltenTitel_5&gt;",Uebersetzungen!$B$4:$E$315,Uebersetzungen!$B$2+1,FALSE)</f>
        <v>Januar-Dezember 25</v>
      </c>
      <c r="H12" s="22" t="str">
        <f>VLOOKUP("&lt;T12SpaltenTitel_6&gt;",Uebersetzungen!$B$4:$E$315,Uebersetzungen!$B$2+1,FALSE)</f>
        <v>Januar-Dezember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/>
      <c r="D27" s="52"/>
      <c r="E27" s="53" t="e">
        <f t="shared" si="0"/>
        <v>#DIV/0!</v>
      </c>
      <c r="F27" s="72"/>
      <c r="G27" s="77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/>
      <c r="D29" s="55"/>
      <c r="E29" s="53" t="e">
        <f t="shared" si="0"/>
        <v>#DIV/0!</v>
      </c>
      <c r="F29" s="72"/>
      <c r="G29" s="77"/>
      <c r="H29" s="55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f>C31-SUM(C13:C29)</f>
        <v>0</v>
      </c>
      <c r="D30" s="57">
        <f>D31-SUM(D13:D29)</f>
        <v>0</v>
      </c>
      <c r="E30" s="53" t="e">
        <f t="shared" si="0"/>
        <v>#DIV/0!</v>
      </c>
      <c r="F30" s="73" t="s">
        <v>42</v>
      </c>
      <c r="G30" s="78">
        <f>G31-SUM(G13:G29)</f>
        <v>0</v>
      </c>
      <c r="H30" s="57">
        <f>H31-SUM(H13:H29)</f>
        <v>0</v>
      </c>
      <c r="I30" s="53" t="e">
        <f t="shared" si="1"/>
        <v>#DIV/0!</v>
      </c>
      <c r="J30" s="58" t="s">
        <v>42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f>C74</f>
        <v>0</v>
      </c>
      <c r="D31" s="19">
        <f>D74</f>
        <v>0</v>
      </c>
      <c r="E31" s="12" t="e">
        <f t="shared" si="0"/>
        <v>#DIV/0!</v>
      </c>
      <c r="F31" s="74"/>
      <c r="G31" s="79">
        <f t="shared" ref="G31:H31" si="2">G74</f>
        <v>0</v>
      </c>
      <c r="H31" s="19">
        <f t="shared" si="2"/>
        <v>0</v>
      </c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VLOOKUP("&lt;T12Titel2&gt;",Uebersetzungen!$B$4:$E$315,Uebersetzungen!$B$2+1,FALSE)</f>
        <v>Hotel- und Kurbetriebe: Logiernächte im Dezember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VLOOKUP("&lt;T12SpaltenTitel_1&gt;",Uebersetzungen!$B$4:$E$315,Uebersetzungen!$B$2+1,FALSE)</f>
        <v>Dezember 2025</v>
      </c>
      <c r="D39" s="21" t="str">
        <f>VLOOKUP("&lt;T12SpaltenTitel_2&gt;",Uebersetzungen!$B$4:$E$315,Uebersetzungen!$B$2+1,FALSE)</f>
        <v>Dezember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VLOOKUP("&lt;T12SpaltenTitel_5&gt;",Uebersetzungen!$B$4:$E$315,Uebersetzungen!$B$2+1,FALSE)</f>
        <v>Januar-Dezember 25</v>
      </c>
      <c r="H39" s="22" t="str">
        <f>VLOOKUP("&lt;T12SpaltenTitel_6&gt;",Uebersetzungen!$B$4:$E$315,Uebersetzungen!$B$2+1,FALSE)</f>
        <v>Januar-Dezember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3">C41/D41-1</f>
        <v>#DIV/0!</v>
      </c>
      <c r="F41" s="80"/>
      <c r="G41" s="83"/>
      <c r="H41" s="17"/>
      <c r="I41" s="10" t="e">
        <f t="shared" ref="I41:I74" si="4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3"/>
        <v>#DIV/0!</v>
      </c>
      <c r="F42" s="80"/>
      <c r="G42" s="83"/>
      <c r="H42" s="17"/>
      <c r="I42" s="10" t="e">
        <f t="shared" si="4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3"/>
        <v>#DIV/0!</v>
      </c>
      <c r="F43" s="80"/>
      <c r="G43" s="83"/>
      <c r="H43" s="17"/>
      <c r="I43" s="10" t="e">
        <f t="shared" si="4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3"/>
        <v>#DIV/0!</v>
      </c>
      <c r="F44" s="80"/>
      <c r="G44" s="83"/>
      <c r="H44" s="17"/>
      <c r="I44" s="10" t="e">
        <f t="shared" si="4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3"/>
        <v>#DIV/0!</v>
      </c>
      <c r="F45" s="80"/>
      <c r="G45" s="83"/>
      <c r="H45" s="17"/>
      <c r="I45" s="10" t="e">
        <f t="shared" si="4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3"/>
        <v>#DIV/0!</v>
      </c>
      <c r="F46" s="80"/>
      <c r="G46" s="83"/>
      <c r="H46" s="17"/>
      <c r="I46" s="10" t="e">
        <f t="shared" si="4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3"/>
        <v>#DIV/0!</v>
      </c>
      <c r="F47" s="80"/>
      <c r="G47" s="83"/>
      <c r="H47" s="17"/>
      <c r="I47" s="10" t="e">
        <f t="shared" si="4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3"/>
        <v>#DIV/0!</v>
      </c>
      <c r="F48" s="80"/>
      <c r="G48" s="83"/>
      <c r="H48" s="17"/>
      <c r="I48" s="10" t="e">
        <f t="shared" si="4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3"/>
        <v>#DIV/0!</v>
      </c>
      <c r="F49" s="80"/>
      <c r="G49" s="83"/>
      <c r="H49" s="17"/>
      <c r="I49" s="10" t="e">
        <f t="shared" si="4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3"/>
        <v>#DIV/0!</v>
      </c>
      <c r="F50" s="80"/>
      <c r="G50" s="83"/>
      <c r="H50" s="17"/>
      <c r="I50" s="10" t="e">
        <f t="shared" si="4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3"/>
        <v>#DIV/0!</v>
      </c>
      <c r="F51" s="80"/>
      <c r="G51" s="83"/>
      <c r="H51" s="17"/>
      <c r="I51" s="10" t="e">
        <f t="shared" si="4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3"/>
        <v>#DIV/0!</v>
      </c>
      <c r="F52" s="80"/>
      <c r="G52" s="83"/>
      <c r="H52" s="17"/>
      <c r="I52" s="10" t="e">
        <f t="shared" si="4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3"/>
        <v>#DIV/0!</v>
      </c>
      <c r="F53" s="80"/>
      <c r="G53" s="83"/>
      <c r="H53" s="17"/>
      <c r="I53" s="10" t="e">
        <f t="shared" si="4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3"/>
        <v>#DIV/0!</v>
      </c>
      <c r="F54" s="80"/>
      <c r="G54" s="83"/>
      <c r="H54" s="17"/>
      <c r="I54" s="10" t="e">
        <f t="shared" si="4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3"/>
        <v>#DIV/0!</v>
      </c>
      <c r="F55" s="80"/>
      <c r="G55" s="83"/>
      <c r="H55" s="17"/>
      <c r="I55" s="10" t="e">
        <f t="shared" si="4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3"/>
        <v>#DIV/0!</v>
      </c>
      <c r="F56" s="80"/>
      <c r="G56" s="83"/>
      <c r="H56" s="17"/>
      <c r="I56" s="10" t="e">
        <f t="shared" si="4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3"/>
        <v>#DIV/0!</v>
      </c>
      <c r="F57" s="80"/>
      <c r="G57" s="83"/>
      <c r="H57" s="17"/>
      <c r="I57" s="10" t="e">
        <f t="shared" si="4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3"/>
        <v>#DIV/0!</v>
      </c>
      <c r="F58" s="80"/>
      <c r="G58" s="83"/>
      <c r="H58" s="17"/>
      <c r="I58" s="10" t="e">
        <f t="shared" si="4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3"/>
        <v>#DIV/0!</v>
      </c>
      <c r="F59" s="80"/>
      <c r="G59" s="83"/>
      <c r="H59" s="17"/>
      <c r="I59" s="10" t="e">
        <f t="shared" si="4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3"/>
        <v>#DIV/0!</v>
      </c>
      <c r="F60" s="80"/>
      <c r="G60" s="83"/>
      <c r="H60" s="17"/>
      <c r="I60" s="10" t="e">
        <f t="shared" si="4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3"/>
        <v>#DIV/0!</v>
      </c>
      <c r="F61" s="80"/>
      <c r="G61" s="83"/>
      <c r="H61" s="17"/>
      <c r="I61" s="10" t="e">
        <f t="shared" si="4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3"/>
        <v>#DIV/0!</v>
      </c>
      <c r="F62" s="80"/>
      <c r="G62" s="83"/>
      <c r="H62" s="17"/>
      <c r="I62" s="10" t="e">
        <f t="shared" si="4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3"/>
        <v>#DIV/0!</v>
      </c>
      <c r="F63" s="80"/>
      <c r="G63" s="83"/>
      <c r="H63" s="17"/>
      <c r="I63" s="10" t="e">
        <f t="shared" si="4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3"/>
        <v>#DIV/0!</v>
      </c>
      <c r="F66" s="80"/>
      <c r="G66" s="83"/>
      <c r="H66" s="17"/>
      <c r="I66" s="10" t="e">
        <f t="shared" si="4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3"/>
        <v>#DIV/0!</v>
      </c>
      <c r="F67" s="80"/>
      <c r="G67" s="83"/>
      <c r="H67" s="17"/>
      <c r="I67" s="10" t="e">
        <f t="shared" si="4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3"/>
        <v>#DIV/0!</v>
      </c>
      <c r="F68" s="80"/>
      <c r="G68" s="83"/>
      <c r="H68" s="17"/>
      <c r="I68" s="10" t="e">
        <f t="shared" si="4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3"/>
        <v>#DIV/0!</v>
      </c>
      <c r="F69" s="80"/>
      <c r="G69" s="83"/>
      <c r="H69" s="17"/>
      <c r="I69" s="10" t="e">
        <f t="shared" si="4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3"/>
        <v>#DIV/0!</v>
      </c>
      <c r="F70" s="80"/>
      <c r="G70" s="83"/>
      <c r="H70" s="17"/>
      <c r="I70" s="10" t="e">
        <f t="shared" si="4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3"/>
        <v>#DIV/0!</v>
      </c>
      <c r="F71" s="80"/>
      <c r="G71" s="83"/>
      <c r="H71" s="17"/>
      <c r="I71" s="10" t="e">
        <f t="shared" si="4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3"/>
        <v>#DIV/0!</v>
      </c>
      <c r="F72" s="80"/>
      <c r="G72" s="83"/>
      <c r="H72" s="17"/>
      <c r="I72" s="10" t="e">
        <f t="shared" si="4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3"/>
        <v>#DIV/0!</v>
      </c>
      <c r="F73" s="81"/>
      <c r="G73" s="84"/>
      <c r="H73" s="18"/>
      <c r="I73" s="11" t="e">
        <f t="shared" si="4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3"/>
        <v>#DIV/0!</v>
      </c>
      <c r="F74" s="82">
        <f>F31</f>
        <v>0</v>
      </c>
      <c r="G74" s="79"/>
      <c r="H74" s="40"/>
      <c r="I74" s="65" t="e">
        <f t="shared" si="4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VLOOKUP("&lt;T12Titel3&gt;",Uebersetzungen!$B$4:$E$315,Uebersetzungen!$B$2+1,FALSE)</f>
        <v>Hotel- und Kurbetriebe: Logiernächte im Dezember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VLOOKUP("&lt;T12SpaltenTitel_1&gt;",Uebersetzungen!$B$4:$E$315,Uebersetzungen!$B$2+1,FALSE)</f>
        <v>Dezember 2025</v>
      </c>
      <c r="D82" s="21" t="str">
        <f>VLOOKUP("&lt;T12SpaltenTitel_2&gt;",Uebersetzungen!$B$4:$E$315,Uebersetzungen!$B$2+1,FALSE)</f>
        <v>Dezember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VLOOKUP("&lt;T12SpaltenTitel_5&gt;",Uebersetzungen!$B$4:$E$315,Uebersetzungen!$B$2+1,FALSE)</f>
        <v>Januar-Dezember 25</v>
      </c>
      <c r="H82" s="22" t="str">
        <f>VLOOKUP("&lt;T12SpaltenTitel_6&gt;",Uebersetzungen!$B$4:$E$315,Uebersetzungen!$B$2+1,FALSE)</f>
        <v>Januar-Dezember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5">C84/D84-1</f>
        <v>#DIV/0!</v>
      </c>
      <c r="F84" s="80"/>
      <c r="G84" s="83"/>
      <c r="H84" s="17"/>
      <c r="I84" s="10" t="e">
        <f t="shared" ref="I84:I96" si="6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5"/>
        <v>#DIV/0!</v>
      </c>
      <c r="F85" s="80"/>
      <c r="G85" s="83"/>
      <c r="H85" s="17"/>
      <c r="I85" s="10" t="e">
        <f t="shared" si="6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5"/>
        <v>#DIV/0!</v>
      </c>
      <c r="F86" s="80"/>
      <c r="G86" s="83"/>
      <c r="H86" s="17"/>
      <c r="I86" s="10" t="e">
        <f t="shared" si="6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5"/>
        <v>#DIV/0!</v>
      </c>
      <c r="F87" s="80"/>
      <c r="G87" s="83"/>
      <c r="H87" s="17"/>
      <c r="I87" s="10" t="e">
        <f t="shared" si="6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5"/>
        <v>#DIV/0!</v>
      </c>
      <c r="F88" s="85"/>
      <c r="G88" s="87"/>
      <c r="H88" s="62"/>
      <c r="I88" s="63" t="e">
        <f t="shared" si="6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5"/>
        <v>#DIV/0!</v>
      </c>
      <c r="F89" s="80"/>
      <c r="G89" s="83"/>
      <c r="H89" s="17"/>
      <c r="I89" s="10" t="e">
        <f t="shared" si="6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5"/>
        <v>#DIV/0!</v>
      </c>
      <c r="F90" s="80"/>
      <c r="G90" s="83"/>
      <c r="H90" s="17"/>
      <c r="I90" s="10" t="e">
        <f t="shared" si="6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5"/>
        <v>#DIV/0!</v>
      </c>
      <c r="F91" s="80"/>
      <c r="G91" s="83"/>
      <c r="H91" s="17"/>
      <c r="I91" s="10" t="e">
        <f t="shared" si="6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5"/>
        <v>#DIV/0!</v>
      </c>
      <c r="F92" s="80"/>
      <c r="G92" s="83"/>
      <c r="H92" s="17"/>
      <c r="I92" s="10" t="e">
        <f t="shared" si="6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5"/>
        <v>#DIV/0!</v>
      </c>
      <c r="F93" s="80"/>
      <c r="G93" s="83"/>
      <c r="H93" s="17"/>
      <c r="I93" s="10" t="e">
        <f t="shared" si="6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5"/>
        <v>#DIV/0!</v>
      </c>
      <c r="F94" s="80"/>
      <c r="G94" s="83"/>
      <c r="H94" s="17"/>
      <c r="I94" s="33" t="e">
        <f t="shared" si="6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5"/>
        <v>#DIV/0!</v>
      </c>
      <c r="F95" s="11"/>
      <c r="G95" s="84"/>
      <c r="H95" s="18"/>
      <c r="I95" s="43" t="e">
        <f t="shared" si="6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5"/>
        <v>#DIV/0!</v>
      </c>
      <c r="F96" s="86"/>
      <c r="G96" s="79"/>
      <c r="H96" s="40"/>
      <c r="I96" s="41" t="e">
        <f t="shared" si="6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VLOOKUP("&lt;T12Aktualisierung&gt;",Uebersetzungen!$B$4:$E$315,Uebersetzungen!$B$2+1,FALSE)</f>
        <v>Letztmals aktualisiert am: 22.02.2026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VLOOKUP("&lt;T12Legende_3&gt;",Uebersetzungen!$B$4:$E$315,Uebersetzungen!$B$2+1,FALSE)</f>
        <v>Daten des Januar 2026 erscheinen am 10. März 2026.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000-000000000000}"/>
    <hyperlink ref="E76" location="Länder_Pajais_Paesi!A1" display="Länder / Pajais / Paese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4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3" t="str">
        <f>VLOOKUP("&lt;Fachbereich&gt;",Uebersetzungen!$B$4:$E$315,Uebersetzungen!$B$2+1,FALSE)</f>
        <v>Daten &amp; Statistik</v>
      </c>
      <c r="B7" s="133"/>
      <c r="C7" s="133"/>
      <c r="D7" s="133"/>
      <c r="E7" s="95"/>
      <c r="F7" s="1"/>
    </row>
    <row r="8" spans="1:10" ht="10.5" customHeight="1" x14ac:dyDescent="0.2"/>
    <row r="9" spans="1:10" ht="18" x14ac:dyDescent="0.25">
      <c r="A9" s="2" t="str">
        <f>VLOOKUP("&lt;T3Titel1&gt;",Uebersetzungen!$B$4:$E$315,Uebersetzungen!$B$2+1,FALSE)</f>
        <v>Hotel- und Kurbetriebe: Logiernächte im März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VLOOKUP("&lt;T3SpaltenTitel_1&gt;",Uebersetzungen!$B$4:$E$315,Uebersetzungen!$B$2+1,FALSE)</f>
        <v>März 2025</v>
      </c>
      <c r="D12" s="21" t="str">
        <f>VLOOKUP("&lt;T3SpaltenTitel_2&gt;",Uebersetzungen!$B$4:$E$315,Uebersetzungen!$B$2+1,FALSE)</f>
        <v>März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VLOOKUP("&lt;T3SpaltenTitel_5&gt;",Uebersetzungen!$B$4:$E$315,Uebersetzungen!$B$2+1,FALSE)</f>
        <v>Januar-März 25</v>
      </c>
      <c r="H12" s="22" t="str">
        <f>VLOOKUP("&lt;T3SpaltenTitel_6&gt;",Uebersetzungen!$B$4:$E$315,Uebersetzungen!$B$2+1,FALSE)</f>
        <v>Januar-März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63285</v>
      </c>
      <c r="D13" s="52">
        <v>66184</v>
      </c>
      <c r="E13" s="53">
        <f t="shared" ref="E13:E31" si="0">C13/D13-1</f>
        <v>-4.3802127402393309E-2</v>
      </c>
      <c r="F13" s="72">
        <v>0.17425816794573024</v>
      </c>
      <c r="G13" s="76">
        <v>218424</v>
      </c>
      <c r="H13" s="52">
        <v>223703</v>
      </c>
      <c r="I13" s="53">
        <f t="shared" ref="I13:I31" si="1">G13/H13-1</f>
        <v>-2.359825304086216E-2</v>
      </c>
      <c r="J13" s="54">
        <v>0.13512417954194667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4921</v>
      </c>
      <c r="D14" s="52">
        <v>4523</v>
      </c>
      <c r="E14" s="53">
        <f t="shared" si="0"/>
        <v>8.7994693787309286E-2</v>
      </c>
      <c r="F14" s="72">
        <v>0.20129870129870131</v>
      </c>
      <c r="G14" s="76">
        <v>20730</v>
      </c>
      <c r="H14" s="52">
        <v>20136</v>
      </c>
      <c r="I14" s="53">
        <f t="shared" si="1"/>
        <v>2.9499404052443445E-2</v>
      </c>
      <c r="J14" s="54">
        <v>2.7213985570442967E-2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4576</v>
      </c>
      <c r="D15" s="52">
        <v>4032</v>
      </c>
      <c r="E15" s="53">
        <f t="shared" si="0"/>
        <v>0.13492063492063489</v>
      </c>
      <c r="F15" s="72">
        <v>0.16889751711453971</v>
      </c>
      <c r="G15" s="76">
        <v>14041</v>
      </c>
      <c r="H15" s="52">
        <v>15845</v>
      </c>
      <c r="I15" s="53">
        <f t="shared" si="1"/>
        <v>-0.11385295045755761</v>
      </c>
      <c r="J15" s="54">
        <v>-3.542035914980135E-2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3839</v>
      </c>
      <c r="D16" s="52">
        <v>4021</v>
      </c>
      <c r="E16" s="53">
        <f t="shared" si="0"/>
        <v>-4.5262372544143226E-2</v>
      </c>
      <c r="F16" s="72">
        <v>0.21795685279187826</v>
      </c>
      <c r="G16" s="76">
        <v>11709</v>
      </c>
      <c r="H16" s="52">
        <v>12059</v>
      </c>
      <c r="I16" s="53">
        <f t="shared" si="1"/>
        <v>-2.9023965502943838E-2</v>
      </c>
      <c r="J16" s="54">
        <v>0.26663205036671633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17951</v>
      </c>
      <c r="D17" s="52">
        <v>18582</v>
      </c>
      <c r="E17" s="53">
        <f t="shared" si="0"/>
        <v>-3.3957593369927874E-2</v>
      </c>
      <c r="F17" s="72">
        <v>0.42649396058486966</v>
      </c>
      <c r="G17" s="76">
        <v>57244</v>
      </c>
      <c r="H17" s="52">
        <v>56127</v>
      </c>
      <c r="I17" s="53">
        <f t="shared" si="1"/>
        <v>1.9901295276782971E-2</v>
      </c>
      <c r="J17" s="54">
        <v>0.404781420094529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107267</v>
      </c>
      <c r="D18" s="52">
        <v>115189</v>
      </c>
      <c r="E18" s="53">
        <f t="shared" si="0"/>
        <v>-6.8773928066047985E-2</v>
      </c>
      <c r="F18" s="72">
        <v>0.12585777290770572</v>
      </c>
      <c r="G18" s="76">
        <v>376608</v>
      </c>
      <c r="H18" s="52">
        <v>399184</v>
      </c>
      <c r="I18" s="53">
        <f t="shared" si="1"/>
        <v>-5.6555372960840122E-2</v>
      </c>
      <c r="J18" s="54">
        <v>4.6675278533107267E-2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13069</v>
      </c>
      <c r="D19" s="52">
        <v>14595</v>
      </c>
      <c r="E19" s="53">
        <f t="shared" si="0"/>
        <v>-0.10455635491606718</v>
      </c>
      <c r="F19" s="72">
        <v>-6.8243715332734545E-2</v>
      </c>
      <c r="G19" s="76">
        <v>53896</v>
      </c>
      <c r="H19" s="52">
        <v>63341</v>
      </c>
      <c r="I19" s="53">
        <f t="shared" si="1"/>
        <v>-0.14911352836235614</v>
      </c>
      <c r="J19" s="54">
        <v>1.4383100139652605E-2</v>
      </c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>
        <v>58069</v>
      </c>
      <c r="D20" s="52">
        <v>56144</v>
      </c>
      <c r="E20" s="53">
        <f t="shared" si="0"/>
        <v>3.4286833855799337E-2</v>
      </c>
      <c r="F20" s="72">
        <v>0.18106600822509589</v>
      </c>
      <c r="G20" s="76">
        <v>201226</v>
      </c>
      <c r="H20" s="52">
        <v>201084</v>
      </c>
      <c r="I20" s="53">
        <f t="shared" si="1"/>
        <v>7.0617254480720426E-4</v>
      </c>
      <c r="J20" s="54">
        <v>0.12748328044035651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206827</v>
      </c>
      <c r="D21" s="52">
        <v>191344</v>
      </c>
      <c r="E21" s="53">
        <f t="shared" si="0"/>
        <v>8.0917091730077662E-2</v>
      </c>
      <c r="F21" s="72">
        <v>0.31360265023480438</v>
      </c>
      <c r="G21" s="76">
        <v>679530</v>
      </c>
      <c r="H21" s="52">
        <v>662534</v>
      </c>
      <c r="I21" s="53">
        <f t="shared" si="1"/>
        <v>2.5653023090135729E-2</v>
      </c>
      <c r="J21" s="54">
        <v>0.19733500324385056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66868</v>
      </c>
      <c r="D22" s="52">
        <v>62777</v>
      </c>
      <c r="E22" s="53">
        <f t="shared" si="0"/>
        <v>6.5167179062395553E-2</v>
      </c>
      <c r="F22" s="72">
        <v>0.13631033908501089</v>
      </c>
      <c r="G22" s="76">
        <v>208854</v>
      </c>
      <c r="H22" s="52">
        <v>210448</v>
      </c>
      <c r="I22" s="53">
        <f t="shared" si="1"/>
        <v>-7.5743176461643413E-3</v>
      </c>
      <c r="J22" s="54">
        <v>1.3752009505836327E-2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36107</v>
      </c>
      <c r="D23" s="52">
        <v>38088</v>
      </c>
      <c r="E23" s="53">
        <f t="shared" si="0"/>
        <v>-5.2011132115101888E-2</v>
      </c>
      <c r="F23" s="72">
        <v>2.9270072576553341E-2</v>
      </c>
      <c r="G23" s="76">
        <v>135305</v>
      </c>
      <c r="H23" s="52">
        <v>141430</v>
      </c>
      <c r="I23" s="53">
        <f t="shared" si="1"/>
        <v>-4.3307643357137771E-2</v>
      </c>
      <c r="J23" s="54">
        <v>9.1544001384273876E-3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8692</v>
      </c>
      <c r="D24" s="52">
        <v>8252</v>
      </c>
      <c r="E24" s="53">
        <f t="shared" si="0"/>
        <v>5.3320407174018314E-2</v>
      </c>
      <c r="F24" s="72">
        <v>0.19803726982026681</v>
      </c>
      <c r="G24" s="76">
        <v>29576</v>
      </c>
      <c r="H24" s="52">
        <v>31526</v>
      </c>
      <c r="I24" s="53">
        <f t="shared" si="1"/>
        <v>-6.1853708050497946E-2</v>
      </c>
      <c r="J24" s="54">
        <v>0.12311080732133362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2950</v>
      </c>
      <c r="D25" s="52">
        <v>2076</v>
      </c>
      <c r="E25" s="53">
        <f t="shared" si="0"/>
        <v>0.42100192678227355</v>
      </c>
      <c r="F25" s="72">
        <v>0.89054088695206346</v>
      </c>
      <c r="G25" s="76">
        <v>10626</v>
      </c>
      <c r="H25" s="52">
        <v>6999</v>
      </c>
      <c r="I25" s="53">
        <f t="shared" si="1"/>
        <v>0.51821688812687516</v>
      </c>
      <c r="J25" s="54">
        <v>0.68484810046299249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12166</v>
      </c>
      <c r="D26" s="52">
        <v>10353</v>
      </c>
      <c r="E26" s="53">
        <f t="shared" si="0"/>
        <v>0.17511832319134557</v>
      </c>
      <c r="F26" s="72">
        <v>0.41537530829726821</v>
      </c>
      <c r="G26" s="76">
        <v>39647</v>
      </c>
      <c r="H26" s="52">
        <v>38781</v>
      </c>
      <c r="I26" s="53">
        <f t="shared" si="1"/>
        <v>2.2330522678631226E-2</v>
      </c>
      <c r="J26" s="54">
        <v>0.22493558174167205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8874</v>
      </c>
      <c r="D27" s="52">
        <v>9108</v>
      </c>
      <c r="E27" s="53">
        <f t="shared" si="0"/>
        <v>-2.5691699604743046E-2</v>
      </c>
      <c r="F27" s="72">
        <v>-9.4711499224679585E-2</v>
      </c>
      <c r="G27" s="77">
        <v>40175</v>
      </c>
      <c r="H27" s="52">
        <v>40046</v>
      </c>
      <c r="I27" s="53">
        <f t="shared" si="1"/>
        <v>3.2212955101633689E-3</v>
      </c>
      <c r="J27" s="54">
        <v>-3.2254062771368552E-3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3146</v>
      </c>
      <c r="D28" s="52">
        <v>3007</v>
      </c>
      <c r="E28" s="53">
        <f t="shared" si="0"/>
        <v>4.6225473894246694E-2</v>
      </c>
      <c r="F28" s="72">
        <v>0.54655392783403789</v>
      </c>
      <c r="G28" s="76">
        <v>10837</v>
      </c>
      <c r="H28" s="52">
        <v>9525</v>
      </c>
      <c r="I28" s="53">
        <f t="shared" si="1"/>
        <v>0.13774278215223101</v>
      </c>
      <c r="J28" s="54">
        <v>0.54127318238707489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6657</v>
      </c>
      <c r="D29" s="55">
        <v>6310</v>
      </c>
      <c r="E29" s="53">
        <f t="shared" si="0"/>
        <v>5.4992076069730667E-2</v>
      </c>
      <c r="F29" s="72">
        <v>7.4923300500565171E-2</v>
      </c>
      <c r="G29" s="77">
        <v>22849</v>
      </c>
      <c r="H29" s="55">
        <v>23488</v>
      </c>
      <c r="I29" s="53">
        <f t="shared" si="1"/>
        <v>-2.7205381471389622E-2</v>
      </c>
      <c r="J29" s="54">
        <v>1.3585765623631563E-3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7566</v>
      </c>
      <c r="D30" s="57">
        <v>7526</v>
      </c>
      <c r="E30" s="53">
        <f t="shared" si="0"/>
        <v>5.3149083178314349E-3</v>
      </c>
      <c r="F30" s="73">
        <v>0.17364191977166255</v>
      </c>
      <c r="G30" s="78">
        <v>24486</v>
      </c>
      <c r="H30" s="57">
        <v>26562</v>
      </c>
      <c r="I30" s="53">
        <f t="shared" si="1"/>
        <v>-7.8156765303817433E-2</v>
      </c>
      <c r="J30" s="58">
        <v>5.2762825253237278E-2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632830</v>
      </c>
      <c r="D31" s="19">
        <v>622111</v>
      </c>
      <c r="E31" s="12">
        <f t="shared" si="0"/>
        <v>1.7230044156107294E-2</v>
      </c>
      <c r="F31" s="74">
        <v>0.19543128126099174</v>
      </c>
      <c r="G31" s="79">
        <v>2155763</v>
      </c>
      <c r="H31" s="19">
        <v>2182818</v>
      </c>
      <c r="I31" s="12">
        <f t="shared" si="1"/>
        <v>-1.2394528540629612E-2</v>
      </c>
      <c r="J31" s="47">
        <v>0.11430408918059265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VLOOKUP("&lt;T3Titel2&gt;",Uebersetzungen!$B$4:$E$315,Uebersetzungen!$B$2+1,FALSE)</f>
        <v>Hotel- und Kurbetriebe: Logiernächte im März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VLOOKUP("&lt;T3SpaltenTitel_1&gt;",Uebersetzungen!$B$4:$E$315,Uebersetzungen!$B$2+1,FALSE)</f>
        <v>März 2025</v>
      </c>
      <c r="D39" s="21" t="str">
        <f>VLOOKUP("&lt;T3SpaltenTitel_2&gt;",Uebersetzungen!$B$4:$E$315,Uebersetzungen!$B$2+1,FALSE)</f>
        <v>März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VLOOKUP("&lt;T3SpaltenTitel_5&gt;",Uebersetzungen!$B$4:$E$315,Uebersetzungen!$B$2+1,FALSE)</f>
        <v>Januar-März 25</v>
      </c>
      <c r="H39" s="22" t="str">
        <f>VLOOKUP("&lt;T3SpaltenTitel_6&gt;",Uebersetzungen!$B$4:$E$315,Uebersetzungen!$B$2+1,FALSE)</f>
        <v>Januar-März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374431</v>
      </c>
      <c r="D40" s="17">
        <v>373556</v>
      </c>
      <c r="E40" s="10">
        <f>C40/D40-1</f>
        <v>2.3423529537740517E-3</v>
      </c>
      <c r="F40" s="80">
        <v>7.585283873485138E-2</v>
      </c>
      <c r="G40" s="83">
        <v>1336343</v>
      </c>
      <c r="H40" s="17">
        <v>1366543</v>
      </c>
      <c r="I40" s="10">
        <f>G40/H40-1</f>
        <v>-2.2099560716347777E-2</v>
      </c>
      <c r="J40" s="44">
        <v>2.930454279721828E-2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117805</v>
      </c>
      <c r="D41" s="17">
        <v>125993</v>
      </c>
      <c r="E41" s="10">
        <f t="shared" ref="E41:E74" si="2">C41/D41-1</f>
        <v>-6.4987737413983337E-2</v>
      </c>
      <c r="F41" s="80">
        <v>0.28653584892472872</v>
      </c>
      <c r="G41" s="83">
        <v>304990</v>
      </c>
      <c r="H41" s="17">
        <v>348064</v>
      </c>
      <c r="I41" s="10">
        <f t="shared" ref="I41:I74" si="3">G41/H41-1</f>
        <v>-0.12375310287763175</v>
      </c>
      <c r="J41" s="44">
        <v>0.12869381788575773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18777</v>
      </c>
      <c r="D42" s="17">
        <v>13459</v>
      </c>
      <c r="E42" s="10">
        <f t="shared" si="2"/>
        <v>0.39512593803402929</v>
      </c>
      <c r="F42" s="80">
        <v>1.6132884262094307</v>
      </c>
      <c r="G42" s="83">
        <v>61122</v>
      </c>
      <c r="H42" s="17">
        <v>48993</v>
      </c>
      <c r="I42" s="10">
        <f t="shared" si="3"/>
        <v>0.24756597881329978</v>
      </c>
      <c r="J42" s="44">
        <v>1.0820530987920942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19027</v>
      </c>
      <c r="D43" s="17">
        <v>17606</v>
      </c>
      <c r="E43" s="10">
        <f t="shared" si="2"/>
        <v>8.0711121208678849E-2</v>
      </c>
      <c r="F43" s="80">
        <v>0.64550722130934868</v>
      </c>
      <c r="G43" s="83">
        <v>77235</v>
      </c>
      <c r="H43" s="17">
        <v>72756</v>
      </c>
      <c r="I43" s="10">
        <f t="shared" si="3"/>
        <v>6.1561933036450522E-2</v>
      </c>
      <c r="J43" s="44">
        <v>0.38267781378112753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10739</v>
      </c>
      <c r="D44" s="17">
        <v>6127</v>
      </c>
      <c r="E44" s="10">
        <f t="shared" si="2"/>
        <v>0.75273380120776889</v>
      </c>
      <c r="F44" s="80">
        <v>0.91624139038578223</v>
      </c>
      <c r="G44" s="83">
        <v>23218</v>
      </c>
      <c r="H44" s="17">
        <v>24777</v>
      </c>
      <c r="I44" s="10">
        <f t="shared" si="3"/>
        <v>-6.2921257617952087E-2</v>
      </c>
      <c r="J44" s="44">
        <v>8.2575651606285216E-2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11530</v>
      </c>
      <c r="D45" s="17">
        <v>9434</v>
      </c>
      <c r="E45" s="10">
        <f t="shared" si="2"/>
        <v>0.2221751112995547</v>
      </c>
      <c r="F45" s="80">
        <v>0.37196573060447413</v>
      </c>
      <c r="G45" s="83">
        <v>40232</v>
      </c>
      <c r="H45" s="17">
        <v>39117</v>
      </c>
      <c r="I45" s="10">
        <f t="shared" si="3"/>
        <v>2.8504230897052452E-2</v>
      </c>
      <c r="J45" s="44">
        <v>0.27305175490779288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5789</v>
      </c>
      <c r="D46" s="17">
        <v>5582</v>
      </c>
      <c r="E46" s="10">
        <f t="shared" si="2"/>
        <v>3.7083482622715769E-2</v>
      </c>
      <c r="F46" s="80">
        <v>0.350361558199207</v>
      </c>
      <c r="G46" s="83">
        <v>15680</v>
      </c>
      <c r="H46" s="17">
        <v>14397</v>
      </c>
      <c r="I46" s="10">
        <f t="shared" si="3"/>
        <v>8.9115788011391306E-2</v>
      </c>
      <c r="J46" s="44">
        <v>0.2910025029640364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10561</v>
      </c>
      <c r="D47" s="17">
        <v>10619</v>
      </c>
      <c r="E47" s="10">
        <f t="shared" si="2"/>
        <v>-5.4619079009322613E-3</v>
      </c>
      <c r="F47" s="80">
        <v>0.49521463359383855</v>
      </c>
      <c r="G47" s="83">
        <v>40157</v>
      </c>
      <c r="H47" s="17">
        <v>40982</v>
      </c>
      <c r="I47" s="10">
        <f t="shared" si="3"/>
        <v>-2.0130789126933779E-2</v>
      </c>
      <c r="J47" s="44">
        <v>0.3248850206863787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6710</v>
      </c>
      <c r="D48" s="17">
        <v>10878</v>
      </c>
      <c r="E48" s="10">
        <f t="shared" si="2"/>
        <v>-0.38315866887295458</v>
      </c>
      <c r="F48" s="80">
        <v>0.14775409667818407</v>
      </c>
      <c r="G48" s="83">
        <v>28765</v>
      </c>
      <c r="H48" s="17">
        <v>28932</v>
      </c>
      <c r="I48" s="10">
        <f t="shared" si="3"/>
        <v>-5.7721553988663299E-3</v>
      </c>
      <c r="J48" s="44">
        <v>0.32135015204828798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2171</v>
      </c>
      <c r="D49" s="17">
        <v>1011</v>
      </c>
      <c r="E49" s="10">
        <f t="shared" si="2"/>
        <v>1.1473788328387733</v>
      </c>
      <c r="F49" s="80">
        <v>2.1309489472166141</v>
      </c>
      <c r="G49" s="83">
        <v>9778</v>
      </c>
      <c r="H49" s="17">
        <v>9083</v>
      </c>
      <c r="I49" s="10">
        <f t="shared" si="3"/>
        <v>7.6516569415391311E-2</v>
      </c>
      <c r="J49" s="44">
        <v>0.89027219300958893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189</v>
      </c>
      <c r="D50" s="17">
        <v>386</v>
      </c>
      <c r="E50" s="10">
        <f t="shared" si="2"/>
        <v>-0.51036269430051817</v>
      </c>
      <c r="F50" s="80">
        <v>0.48351648351648335</v>
      </c>
      <c r="G50" s="83">
        <v>819</v>
      </c>
      <c r="H50" s="17">
        <v>958</v>
      </c>
      <c r="I50" s="10">
        <f t="shared" si="3"/>
        <v>-0.14509394572025047</v>
      </c>
      <c r="J50" s="44">
        <v>0.99658703071672394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3274</v>
      </c>
      <c r="D51" s="17">
        <v>3711</v>
      </c>
      <c r="E51" s="10">
        <f t="shared" si="2"/>
        <v>-0.11775801670708708</v>
      </c>
      <c r="F51" s="80">
        <v>0.61169636703751107</v>
      </c>
      <c r="G51" s="83">
        <v>8622</v>
      </c>
      <c r="H51" s="17">
        <v>7428</v>
      </c>
      <c r="I51" s="10">
        <f t="shared" si="3"/>
        <v>0.16074313408723739</v>
      </c>
      <c r="J51" s="44">
        <v>0.69965305156915347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4048</v>
      </c>
      <c r="D52" s="17">
        <v>1531</v>
      </c>
      <c r="E52" s="10">
        <f t="shared" si="2"/>
        <v>1.6440235140431092</v>
      </c>
      <c r="F52" s="80">
        <v>2.4533356082579765</v>
      </c>
      <c r="G52" s="83">
        <v>8653</v>
      </c>
      <c r="H52" s="17">
        <v>5729</v>
      </c>
      <c r="I52" s="10">
        <f t="shared" si="3"/>
        <v>0.51038575667655794</v>
      </c>
      <c r="J52" s="44">
        <v>1.1544168907479335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1006</v>
      </c>
      <c r="D53" s="17">
        <v>539</v>
      </c>
      <c r="E53" s="10">
        <f t="shared" si="2"/>
        <v>0.86641929499072345</v>
      </c>
      <c r="F53" s="80">
        <v>3.47508896797153</v>
      </c>
      <c r="G53" s="83">
        <v>2691</v>
      </c>
      <c r="H53" s="17">
        <v>2108</v>
      </c>
      <c r="I53" s="10">
        <f t="shared" si="3"/>
        <v>0.27656546489563572</v>
      </c>
      <c r="J53" s="44">
        <v>0.95595290013083312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1187</v>
      </c>
      <c r="D54" s="17">
        <v>666</v>
      </c>
      <c r="E54" s="10">
        <f t="shared" si="2"/>
        <v>0.78228228228228236</v>
      </c>
      <c r="F54" s="80">
        <v>3.0678546949965728</v>
      </c>
      <c r="G54" s="83">
        <v>3872</v>
      </c>
      <c r="H54" s="17">
        <v>3048</v>
      </c>
      <c r="I54" s="10">
        <f t="shared" si="3"/>
        <v>0.2703412073490814</v>
      </c>
      <c r="J54" s="44">
        <v>0.79791976225854389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5852</v>
      </c>
      <c r="D55" s="17">
        <v>5074</v>
      </c>
      <c r="E55" s="10">
        <f t="shared" si="2"/>
        <v>0.15333070555774531</v>
      </c>
      <c r="F55" s="80">
        <v>-0.41100688433511823</v>
      </c>
      <c r="G55" s="83">
        <v>16553</v>
      </c>
      <c r="H55" s="17">
        <v>15905</v>
      </c>
      <c r="I55" s="10">
        <f t="shared" si="3"/>
        <v>4.0741905061301376E-2</v>
      </c>
      <c r="J55" s="44">
        <v>-0.41401990909219644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4960</v>
      </c>
      <c r="D56" s="17">
        <v>2159</v>
      </c>
      <c r="E56" s="10">
        <f t="shared" si="2"/>
        <v>1.2973598888374247</v>
      </c>
      <c r="F56" s="80">
        <v>2.6072727272727274</v>
      </c>
      <c r="G56" s="83">
        <v>22080</v>
      </c>
      <c r="H56" s="17">
        <v>17684</v>
      </c>
      <c r="I56" s="10">
        <f t="shared" si="3"/>
        <v>0.2485862926939606</v>
      </c>
      <c r="J56" s="44">
        <v>0.91274818947295455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1130</v>
      </c>
      <c r="D57" s="17">
        <v>947</v>
      </c>
      <c r="E57" s="10">
        <f t="shared" si="2"/>
        <v>0.19324181626187964</v>
      </c>
      <c r="F57" s="80">
        <v>1.1747498075442646</v>
      </c>
      <c r="G57" s="83">
        <v>3773</v>
      </c>
      <c r="H57" s="17">
        <v>2722</v>
      </c>
      <c r="I57" s="10">
        <f t="shared" si="3"/>
        <v>0.3861131520940484</v>
      </c>
      <c r="J57" s="44">
        <v>1.3910012674271228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3101</v>
      </c>
      <c r="D58" s="17">
        <v>3629</v>
      </c>
      <c r="E58" s="10">
        <f t="shared" si="2"/>
        <v>-0.14549462661890333</v>
      </c>
      <c r="F58" s="80">
        <v>0.22067390962053213</v>
      </c>
      <c r="G58" s="83">
        <v>9749</v>
      </c>
      <c r="H58" s="17">
        <v>9658</v>
      </c>
      <c r="I58" s="10">
        <f t="shared" si="3"/>
        <v>9.4222406295298988E-3</v>
      </c>
      <c r="J58" s="44">
        <v>0.28890240355376928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2557</v>
      </c>
      <c r="D59" s="17">
        <v>3087</v>
      </c>
      <c r="E59" s="10">
        <f t="shared" si="2"/>
        <v>-0.17168772270813082</v>
      </c>
      <c r="F59" s="80">
        <v>0.1328194222931065</v>
      </c>
      <c r="G59" s="83">
        <v>8466</v>
      </c>
      <c r="H59" s="17">
        <v>8212</v>
      </c>
      <c r="I59" s="10">
        <f t="shared" si="3"/>
        <v>3.0930345835362916E-2</v>
      </c>
      <c r="J59" s="44">
        <v>0.24970477090222021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1003</v>
      </c>
      <c r="D60" s="17">
        <v>1430</v>
      </c>
      <c r="E60" s="10">
        <f t="shared" si="2"/>
        <v>-0.29860139860139856</v>
      </c>
      <c r="F60" s="80">
        <v>2.5981996726677448E-2</v>
      </c>
      <c r="G60" s="83">
        <v>5004</v>
      </c>
      <c r="H60" s="17">
        <v>4970</v>
      </c>
      <c r="I60" s="10">
        <f t="shared" si="3"/>
        <v>6.8410462776660186E-3</v>
      </c>
      <c r="J60" s="44">
        <v>3.5167563094745447E-2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2010</v>
      </c>
      <c r="D61" s="17">
        <v>1911</v>
      </c>
      <c r="E61" s="10">
        <f t="shared" si="2"/>
        <v>5.180533751962324E-2</v>
      </c>
      <c r="F61" s="80">
        <v>1.0700308959835221</v>
      </c>
      <c r="G61" s="83">
        <v>7672</v>
      </c>
      <c r="H61" s="17">
        <v>6869</v>
      </c>
      <c r="I61" s="10">
        <f t="shared" si="3"/>
        <v>0.11690202358421886</v>
      </c>
      <c r="J61" s="44">
        <v>0.77428307123034235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995</v>
      </c>
      <c r="D62" s="17">
        <v>1189</v>
      </c>
      <c r="E62" s="10">
        <f t="shared" si="2"/>
        <v>-0.16316232127838515</v>
      </c>
      <c r="F62" s="80">
        <v>-9.8731884057971064E-2</v>
      </c>
      <c r="G62" s="83">
        <v>8054</v>
      </c>
      <c r="H62" s="17">
        <v>8838</v>
      </c>
      <c r="I62" s="10">
        <f t="shared" si="3"/>
        <v>-8.8707852455306657E-2</v>
      </c>
      <c r="J62" s="44">
        <v>-1.7133652250317266E-2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1004</v>
      </c>
      <c r="D63" s="17">
        <v>867</v>
      </c>
      <c r="E63" s="10">
        <f t="shared" si="2"/>
        <v>0.15801614763552485</v>
      </c>
      <c r="F63" s="80">
        <v>1.1190375685943437</v>
      </c>
      <c r="G63" s="83">
        <v>6082</v>
      </c>
      <c r="H63" s="17">
        <v>4641</v>
      </c>
      <c r="I63" s="10">
        <f t="shared" si="3"/>
        <v>0.31049342814048697</v>
      </c>
      <c r="J63" s="44">
        <v>1.3992110453648916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227</v>
      </c>
      <c r="D66" s="17">
        <v>576</v>
      </c>
      <c r="E66" s="10">
        <f t="shared" si="2"/>
        <v>-0.60590277777777779</v>
      </c>
      <c r="F66" s="80">
        <v>-0.63841987894233831</v>
      </c>
      <c r="G66" s="83">
        <v>7588</v>
      </c>
      <c r="H66" s="17">
        <v>7314</v>
      </c>
      <c r="I66" s="10">
        <f t="shared" si="3"/>
        <v>3.7462400875034163E-2</v>
      </c>
      <c r="J66" s="44">
        <v>1.1190795352993743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6563</v>
      </c>
      <c r="D67" s="17">
        <v>6227</v>
      </c>
      <c r="E67" s="10">
        <f t="shared" si="2"/>
        <v>5.3958567528504808E-2</v>
      </c>
      <c r="F67" s="80">
        <v>0.39377336051647971</v>
      </c>
      <c r="G67" s="83">
        <v>23907</v>
      </c>
      <c r="H67" s="17">
        <v>20666</v>
      </c>
      <c r="I67" s="10">
        <f t="shared" si="3"/>
        <v>0.15682763960127755</v>
      </c>
      <c r="J67" s="44">
        <v>0.47433920840682298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3519</v>
      </c>
      <c r="D68" s="17">
        <v>2668</v>
      </c>
      <c r="E68" s="10">
        <f t="shared" si="2"/>
        <v>0.31896551724137923</v>
      </c>
      <c r="F68" s="80">
        <v>0.86565581592620089</v>
      </c>
      <c r="G68" s="83">
        <v>13045</v>
      </c>
      <c r="H68" s="17">
        <v>12012</v>
      </c>
      <c r="I68" s="10">
        <f t="shared" si="3"/>
        <v>8.5997335997336055E-2</v>
      </c>
      <c r="J68" s="44">
        <v>0.55364203706350357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5744</v>
      </c>
      <c r="D69" s="17">
        <v>5718</v>
      </c>
      <c r="E69" s="10">
        <f t="shared" si="2"/>
        <v>4.5470444211261896E-3</v>
      </c>
      <c r="F69" s="80">
        <v>0.22630230572160537</v>
      </c>
      <c r="G69" s="83">
        <v>28992</v>
      </c>
      <c r="H69" s="17">
        <v>24013</v>
      </c>
      <c r="I69" s="10">
        <f t="shared" si="3"/>
        <v>0.20734602090534304</v>
      </c>
      <c r="J69" s="44">
        <v>0.17319520880543871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1999</v>
      </c>
      <c r="D70" s="17">
        <v>1649</v>
      </c>
      <c r="E70" s="10">
        <f t="shared" si="2"/>
        <v>0.21224984839296535</v>
      </c>
      <c r="F70" s="80">
        <v>1.702081643687483</v>
      </c>
      <c r="G70" s="83">
        <v>9189</v>
      </c>
      <c r="H70" s="17">
        <v>7415</v>
      </c>
      <c r="I70" s="10">
        <f t="shared" si="3"/>
        <v>0.23924477410654088</v>
      </c>
      <c r="J70" s="44">
        <v>1.1936022917164002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758</v>
      </c>
      <c r="D71" s="17">
        <v>1188</v>
      </c>
      <c r="E71" s="10">
        <f t="shared" si="2"/>
        <v>-0.36195286195286192</v>
      </c>
      <c r="F71" s="80">
        <v>0.10883557636044472</v>
      </c>
      <c r="G71" s="83">
        <v>3698</v>
      </c>
      <c r="H71" s="17">
        <v>4473</v>
      </c>
      <c r="I71" s="10">
        <f t="shared" si="3"/>
        <v>-0.1732617929801028</v>
      </c>
      <c r="J71" s="44">
        <v>0.42373142373142358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4164</v>
      </c>
      <c r="D72" s="17">
        <v>2694</v>
      </c>
      <c r="E72" s="10">
        <f t="shared" si="2"/>
        <v>0.54565701559020052</v>
      </c>
      <c r="F72" s="80">
        <v>1.3182273688898785</v>
      </c>
      <c r="G72" s="83">
        <v>19734</v>
      </c>
      <c r="H72" s="17">
        <v>14511</v>
      </c>
      <c r="I72" s="10">
        <f t="shared" si="3"/>
        <v>0.35993384329129618</v>
      </c>
      <c r="J72" s="44">
        <v>0.94676821087522711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42</v>
      </c>
      <c r="F73" s="81" t="s">
        <v>42</v>
      </c>
      <c r="G73" s="84">
        <v>0</v>
      </c>
      <c r="H73" s="18">
        <v>0</v>
      </c>
      <c r="I73" s="11" t="s">
        <v>42</v>
      </c>
      <c r="J73" s="46" t="s">
        <v>42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632830</v>
      </c>
      <c r="D74" s="40">
        <v>622111</v>
      </c>
      <c r="E74" s="65">
        <f t="shared" si="2"/>
        <v>1.7230044156107294E-2</v>
      </c>
      <c r="F74" s="82">
        <v>0.19543128126099174</v>
      </c>
      <c r="G74" s="79">
        <v>2155763</v>
      </c>
      <c r="H74" s="40">
        <v>2182818</v>
      </c>
      <c r="I74" s="65">
        <f t="shared" si="3"/>
        <v>-1.2394528540629612E-2</v>
      </c>
      <c r="J74" s="66">
        <v>0.11430408918059265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VLOOKUP("&lt;T3Titel3&gt;",Uebersetzungen!$B$4:$E$315,Uebersetzungen!$B$2+1,FALSE)</f>
        <v>Hotel- und Kurbetriebe: Logiernächte im März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VLOOKUP("&lt;T3SpaltenTitel_1&gt;",Uebersetzungen!$B$4:$E$315,Uebersetzungen!$B$2+1,FALSE)</f>
        <v>März 2025</v>
      </c>
      <c r="D82" s="21" t="str">
        <f>VLOOKUP("&lt;T3SpaltenTitel_2&gt;",Uebersetzungen!$B$4:$E$315,Uebersetzungen!$B$2+1,FALSE)</f>
        <v>März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VLOOKUP("&lt;T3SpaltenTitel_5&gt;",Uebersetzungen!$B$4:$E$315,Uebersetzungen!$B$2+1,FALSE)</f>
        <v>Januar-März 25</v>
      </c>
      <c r="H82" s="22" t="str">
        <f>VLOOKUP("&lt;T3SpaltenTitel_6&gt;",Uebersetzungen!$B$4:$E$315,Uebersetzungen!$B$2+1,FALSE)</f>
        <v>Januar-März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90350</v>
      </c>
      <c r="D83" s="17">
        <v>86378</v>
      </c>
      <c r="E83" s="10">
        <f>C83/D83-1</f>
        <v>4.5983931093565467E-2</v>
      </c>
      <c r="F83" s="80">
        <v>0.40114883348737962</v>
      </c>
      <c r="G83" s="83">
        <v>237219</v>
      </c>
      <c r="H83" s="17">
        <v>230538</v>
      </c>
      <c r="I83" s="10">
        <f>G83/H83-1</f>
        <v>2.8980037998074026E-2</v>
      </c>
      <c r="J83" s="44">
        <v>0.32169863673136434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145714</v>
      </c>
      <c r="D84" s="17">
        <v>125813</v>
      </c>
      <c r="E84" s="10">
        <f t="shared" ref="E84:E96" si="4">C84/D84-1</f>
        <v>0.15817920246715356</v>
      </c>
      <c r="F84" s="80">
        <v>0.65673705322424403</v>
      </c>
      <c r="G84" s="83">
        <v>365913</v>
      </c>
      <c r="H84" s="17">
        <v>334267</v>
      </c>
      <c r="I84" s="10">
        <f t="shared" ref="I84:I96" si="5">G84/H84-1</f>
        <v>9.4672821427182363E-2</v>
      </c>
      <c r="J84" s="44">
        <v>0.49597462616272225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371906</v>
      </c>
      <c r="D85" s="17">
        <v>399796</v>
      </c>
      <c r="E85" s="10">
        <f t="shared" si="4"/>
        <v>-6.9760577894726339E-2</v>
      </c>
      <c r="F85" s="80">
        <v>0.23535797233161659</v>
      </c>
      <c r="G85" s="83">
        <v>1189646</v>
      </c>
      <c r="H85" s="17">
        <v>1263548</v>
      </c>
      <c r="I85" s="10">
        <f t="shared" si="5"/>
        <v>-5.8487687052648618E-2</v>
      </c>
      <c r="J85" s="44">
        <v>0.14464673195596167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31977</v>
      </c>
      <c r="D86" s="17">
        <v>33925</v>
      </c>
      <c r="E86" s="10">
        <f t="shared" si="4"/>
        <v>-5.7420781134856269E-2</v>
      </c>
      <c r="F86" s="80">
        <v>0.32348558846414899</v>
      </c>
      <c r="G86" s="83">
        <v>89940</v>
      </c>
      <c r="H86" s="17">
        <v>93743</v>
      </c>
      <c r="I86" s="10">
        <f t="shared" si="5"/>
        <v>-4.0568362437728656E-2</v>
      </c>
      <c r="J86" s="44">
        <v>0.23465941849929983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289427</v>
      </c>
      <c r="D87" s="17">
        <v>282729</v>
      </c>
      <c r="E87" s="10">
        <f t="shared" si="4"/>
        <v>2.3690530508013063E-2</v>
      </c>
      <c r="F87" s="80">
        <v>0.50660365965385701</v>
      </c>
      <c r="G87" s="83">
        <v>812507</v>
      </c>
      <c r="H87" s="17">
        <v>775904</v>
      </c>
      <c r="I87" s="10">
        <f t="shared" si="5"/>
        <v>4.7174650472223467E-2</v>
      </c>
      <c r="J87" s="44">
        <v>0.4997927073600148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632830</v>
      </c>
      <c r="D88" s="62">
        <v>622111</v>
      </c>
      <c r="E88" s="63">
        <f t="shared" si="4"/>
        <v>1.7230044156107294E-2</v>
      </c>
      <c r="F88" s="85">
        <v>0.19543128126099174</v>
      </c>
      <c r="G88" s="87">
        <v>2155763</v>
      </c>
      <c r="H88" s="62">
        <v>2182818</v>
      </c>
      <c r="I88" s="63">
        <f t="shared" si="5"/>
        <v>-1.2394528540629612E-2</v>
      </c>
      <c r="J88" s="64">
        <v>0.11430408918059265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37867</v>
      </c>
      <c r="D89" s="17">
        <v>41288</v>
      </c>
      <c r="E89" s="10">
        <f t="shared" si="4"/>
        <v>-8.2857004456500682E-2</v>
      </c>
      <c r="F89" s="80">
        <v>0.2003283968149312</v>
      </c>
      <c r="G89" s="83">
        <v>99070</v>
      </c>
      <c r="H89" s="17">
        <v>101620</v>
      </c>
      <c r="I89" s="10">
        <f t="shared" si="5"/>
        <v>-2.5093485534343651E-2</v>
      </c>
      <c r="J89" s="44">
        <v>0.16998913505597812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269619</v>
      </c>
      <c r="D90" s="17">
        <v>274295</v>
      </c>
      <c r="E90" s="10">
        <f t="shared" si="4"/>
        <v>-1.7047339543192597E-2</v>
      </c>
      <c r="F90" s="80">
        <v>0.33841823615261668</v>
      </c>
      <c r="G90" s="83">
        <v>761953</v>
      </c>
      <c r="H90" s="17">
        <v>762041</v>
      </c>
      <c r="I90" s="10">
        <f t="shared" si="5"/>
        <v>-1.1547935084854632E-4</v>
      </c>
      <c r="J90" s="44">
        <v>0.23206363661647345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135653</v>
      </c>
      <c r="D91" s="17">
        <v>138392</v>
      </c>
      <c r="E91" s="10">
        <f t="shared" si="4"/>
        <v>-1.9791606451240007E-2</v>
      </c>
      <c r="F91" s="80">
        <v>0.18208498972615272</v>
      </c>
      <c r="G91" s="83">
        <v>394386</v>
      </c>
      <c r="H91" s="17">
        <v>399292</v>
      </c>
      <c r="I91" s="10">
        <f t="shared" si="5"/>
        <v>-1.2286747543151399E-2</v>
      </c>
      <c r="J91" s="44">
        <v>0.15011988617375027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127466</v>
      </c>
      <c r="D92" s="17">
        <v>135089</v>
      </c>
      <c r="E92" s="10">
        <f t="shared" si="4"/>
        <v>-5.6429465019357639E-2</v>
      </c>
      <c r="F92" s="80">
        <v>2.4572177254057248E-2</v>
      </c>
      <c r="G92" s="83">
        <v>263272</v>
      </c>
      <c r="H92" s="17">
        <v>272405</v>
      </c>
      <c r="I92" s="10">
        <f t="shared" si="5"/>
        <v>-3.3527284741469487E-2</v>
      </c>
      <c r="J92" s="44">
        <v>2.7581776184264495E-2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206987</v>
      </c>
      <c r="D93" s="17">
        <v>206783</v>
      </c>
      <c r="E93" s="10">
        <f t="shared" si="4"/>
        <v>9.8654144683063549E-4</v>
      </c>
      <c r="F93" s="80">
        <v>0.33084079701152835</v>
      </c>
      <c r="G93" s="83">
        <v>593684</v>
      </c>
      <c r="H93" s="17">
        <v>572979</v>
      </c>
      <c r="I93" s="10">
        <f t="shared" si="5"/>
        <v>3.6135704798954338E-2</v>
      </c>
      <c r="J93" s="44">
        <v>0.24396909123901134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474081</v>
      </c>
      <c r="D94" s="17">
        <v>475165</v>
      </c>
      <c r="E94" s="33">
        <f t="shared" si="4"/>
        <v>-2.2813128071301758E-3</v>
      </c>
      <c r="F94" s="80">
        <v>0.23452549718920013</v>
      </c>
      <c r="G94" s="83">
        <v>1492256</v>
      </c>
      <c r="H94" s="17">
        <v>1516912</v>
      </c>
      <c r="I94" s="33">
        <f t="shared" si="5"/>
        <v>-1.6254074066260893E-2</v>
      </c>
      <c r="J94" s="44">
        <v>0.1357351177247792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534803</v>
      </c>
      <c r="D95" s="18">
        <v>515799</v>
      </c>
      <c r="E95" s="43">
        <f t="shared" si="4"/>
        <v>3.6843809313317877E-2</v>
      </c>
      <c r="F95" s="11">
        <v>0.58222462848402556</v>
      </c>
      <c r="G95" s="84">
        <v>1440761</v>
      </c>
      <c r="H95" s="18">
        <v>1368386</v>
      </c>
      <c r="I95" s="43">
        <f t="shared" si="5"/>
        <v>5.2890777894541552E-2</v>
      </c>
      <c r="J95" s="48">
        <v>0.49074416097327278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3348680</v>
      </c>
      <c r="D96" s="40">
        <v>3337563</v>
      </c>
      <c r="E96" s="41">
        <f t="shared" si="4"/>
        <v>3.330873454673311E-3</v>
      </c>
      <c r="F96" s="86">
        <v>0.31380374329784244</v>
      </c>
      <c r="G96" s="79">
        <v>9896370</v>
      </c>
      <c r="H96" s="40">
        <v>9874453</v>
      </c>
      <c r="I96" s="41">
        <f t="shared" si="5"/>
        <v>2.21956598507278E-3</v>
      </c>
      <c r="J96" s="45">
        <v>0.22594072877469418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VLOOKUP("&lt;T3Aktualisierung&gt;",Uebersetzungen!$B$4:$E$315,Uebersetzungen!$B$2+1,FALSE)</f>
        <v>Letztmals aktualisiert am: 07.05.2025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VLOOKUP("&lt;T3Legende_3&gt;",Uebersetzungen!$B$4:$E$315,Uebersetzungen!$B$2+1,FALSE)</f>
        <v>Daten des April 2025 erscheinen am 5. Juni 2025.</v>
      </c>
    </row>
    <row r="103" spans="1:6" x14ac:dyDescent="0.2">
      <c r="A103" s="4" t="s">
        <v>47</v>
      </c>
    </row>
  </sheetData>
  <sheetProtection sheet="1" objects="1" scenarios="1"/>
  <mergeCells count="1">
    <mergeCell ref="A7:D7"/>
  </mergeCells>
  <hyperlinks>
    <hyperlink ref="E33" r:id="rId1" xr:uid="{00000000-0004-0000-0900-000000000000}"/>
    <hyperlink ref="E76" location="Länder_Pajais_Paesi!A1" display="Länder / Pajais / Paese" xr:uid="{00000000-0004-0000-09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5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3" t="str">
        <f>VLOOKUP("&lt;Fachbereich&gt;",Uebersetzungen!$B$4:$E$315,Uebersetzungen!$B$2+1,FALSE)</f>
        <v>Daten &amp; Statistik</v>
      </c>
      <c r="B7" s="133"/>
      <c r="C7" s="133"/>
      <c r="D7" s="133"/>
      <c r="E7" s="95"/>
      <c r="F7" s="1"/>
    </row>
    <row r="8" spans="1:10" ht="10.5" customHeight="1" x14ac:dyDescent="0.2"/>
    <row r="9" spans="1:10" ht="18" x14ac:dyDescent="0.25">
      <c r="A9" s="2" t="str">
        <f>VLOOKUP("&lt;T2Titel1&gt;",Uebersetzungen!$B$4:$E$315,Uebersetzungen!$B$2+1,FALSE)</f>
        <v>Hotel- und Kurbetriebe: Logiernächte im Februar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VLOOKUP("&lt;T2SpaltenTitel_1&gt;",Uebersetzungen!$B$4:$E$315,Uebersetzungen!$B$2+1,FALSE)</f>
        <v>Februar 2025</v>
      </c>
      <c r="D12" s="21" t="str">
        <f>VLOOKUP("&lt;T2SpaltenTitel_2&gt;",Uebersetzungen!$B$4:$E$315,Uebersetzungen!$B$2+1,FALSE)</f>
        <v>Februar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VLOOKUP("&lt;T2SpaltenTitel_5&gt;",Uebersetzungen!$B$4:$E$315,Uebersetzungen!$B$2+1,FALSE)</f>
        <v>Januar-Februar 25</v>
      </c>
      <c r="H12" s="22" t="str">
        <f>VLOOKUP("&lt;T2SpaltenTitel_6&gt;",Uebersetzungen!$B$4:$E$315,Uebersetzungen!$B$2+1,FALSE)</f>
        <v>Januar-Februar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80341</v>
      </c>
      <c r="D13" s="52">
        <v>84507</v>
      </c>
      <c r="E13" s="53">
        <f t="shared" ref="E13:E31" si="0">C13/D13-1</f>
        <v>-4.9297691315512315E-2</v>
      </c>
      <c r="F13" s="72">
        <v>3.5904193593307765E-2</v>
      </c>
      <c r="G13" s="76">
        <v>155139</v>
      </c>
      <c r="H13" s="52">
        <v>157519</v>
      </c>
      <c r="I13" s="53">
        <f t="shared" ref="I13:I31" si="1">G13/H13-1</f>
        <v>-1.5109288403303722E-2</v>
      </c>
      <c r="J13" s="54">
        <v>0.11989945816555903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8202</v>
      </c>
      <c r="D14" s="52">
        <v>8385</v>
      </c>
      <c r="E14" s="53">
        <f t="shared" si="0"/>
        <v>-2.1824686940966065E-2</v>
      </c>
      <c r="F14" s="72">
        <v>-8.328862660944214E-2</v>
      </c>
      <c r="G14" s="76">
        <v>15809</v>
      </c>
      <c r="H14" s="52">
        <v>15613</v>
      </c>
      <c r="I14" s="53">
        <f t="shared" si="1"/>
        <v>1.2553641196438869E-2</v>
      </c>
      <c r="J14" s="54">
        <v>-1.712218049787384E-2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5001</v>
      </c>
      <c r="D15" s="52">
        <v>6692</v>
      </c>
      <c r="E15" s="53">
        <f t="shared" si="0"/>
        <v>-0.25268977884040644</v>
      </c>
      <c r="F15" s="72">
        <v>-0.21488900750416029</v>
      </c>
      <c r="G15" s="76">
        <v>9465</v>
      </c>
      <c r="H15" s="52">
        <v>11813</v>
      </c>
      <c r="I15" s="53">
        <f t="shared" si="1"/>
        <v>-0.19876407347837133</v>
      </c>
      <c r="J15" s="54">
        <v>-0.11058279614350952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4161</v>
      </c>
      <c r="D16" s="52">
        <v>3922</v>
      </c>
      <c r="E16" s="53">
        <f t="shared" si="0"/>
        <v>6.0938296787353297E-2</v>
      </c>
      <c r="F16" s="72">
        <v>0.26075627196703421</v>
      </c>
      <c r="G16" s="76">
        <v>7870</v>
      </c>
      <c r="H16" s="52">
        <v>8038</v>
      </c>
      <c r="I16" s="53">
        <f t="shared" si="1"/>
        <v>-2.0900721572530534E-2</v>
      </c>
      <c r="J16" s="54">
        <v>0.29181576442007806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20789</v>
      </c>
      <c r="D17" s="52">
        <v>19858</v>
      </c>
      <c r="E17" s="53">
        <f t="shared" si="0"/>
        <v>4.6882868365394348E-2</v>
      </c>
      <c r="F17" s="72">
        <v>0.35311576563089875</v>
      </c>
      <c r="G17" s="76">
        <v>39293</v>
      </c>
      <c r="H17" s="52">
        <v>37545</v>
      </c>
      <c r="I17" s="53">
        <f t="shared" si="1"/>
        <v>4.6557464376081992E-2</v>
      </c>
      <c r="J17" s="54">
        <v>0.39508048882671631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143642</v>
      </c>
      <c r="D18" s="52">
        <v>150124</v>
      </c>
      <c r="E18" s="53">
        <f t="shared" si="0"/>
        <v>-4.317763981775069E-2</v>
      </c>
      <c r="F18" s="72">
        <v>-5.3602112564699933E-2</v>
      </c>
      <c r="G18" s="76">
        <v>269341</v>
      </c>
      <c r="H18" s="52">
        <v>283995</v>
      </c>
      <c r="I18" s="53">
        <f t="shared" si="1"/>
        <v>-5.1599499991197062E-2</v>
      </c>
      <c r="J18" s="54">
        <v>1.8156951482926065E-2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24077</v>
      </c>
      <c r="D19" s="52">
        <v>29738</v>
      </c>
      <c r="E19" s="53">
        <f t="shared" si="0"/>
        <v>-0.19036249915932479</v>
      </c>
      <c r="F19" s="72">
        <v>-1.8715204473390368E-2</v>
      </c>
      <c r="G19" s="76">
        <v>40827</v>
      </c>
      <c r="H19" s="52">
        <v>48746</v>
      </c>
      <c r="I19" s="53">
        <f t="shared" si="1"/>
        <v>-0.16245435522914697</v>
      </c>
      <c r="J19" s="54">
        <v>4.4019270897262874E-2</v>
      </c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>
        <v>76052</v>
      </c>
      <c r="D20" s="52">
        <v>80613</v>
      </c>
      <c r="E20" s="53">
        <f t="shared" si="0"/>
        <v>-5.6578963690719908E-2</v>
      </c>
      <c r="F20" s="72">
        <v>2.0300836611268247E-2</v>
      </c>
      <c r="G20" s="76">
        <v>143157</v>
      </c>
      <c r="H20" s="52">
        <v>144940</v>
      </c>
      <c r="I20" s="53">
        <f t="shared" si="1"/>
        <v>-1.2301642058782924E-2</v>
      </c>
      <c r="J20" s="54">
        <v>0.10710943723077637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239744</v>
      </c>
      <c r="D21" s="52">
        <v>249182</v>
      </c>
      <c r="E21" s="53">
        <f t="shared" si="0"/>
        <v>-3.787593004310108E-2</v>
      </c>
      <c r="F21" s="72">
        <v>7.2771287044536281E-2</v>
      </c>
      <c r="G21" s="76">
        <v>472703</v>
      </c>
      <c r="H21" s="52">
        <v>471190</v>
      </c>
      <c r="I21" s="53">
        <f t="shared" si="1"/>
        <v>3.2110189095693187E-3</v>
      </c>
      <c r="J21" s="54">
        <v>0.15269461077844304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73980</v>
      </c>
      <c r="D22" s="52">
        <v>80085</v>
      </c>
      <c r="E22" s="53">
        <f t="shared" si="0"/>
        <v>-7.623150402697132E-2</v>
      </c>
      <c r="F22" s="72">
        <v>-9.9270211631321659E-2</v>
      </c>
      <c r="G22" s="76">
        <v>141986</v>
      </c>
      <c r="H22" s="52">
        <v>147671</v>
      </c>
      <c r="I22" s="53">
        <f t="shared" si="1"/>
        <v>-3.8497741601262292E-2</v>
      </c>
      <c r="J22" s="54">
        <v>-3.5252102610376035E-2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51031</v>
      </c>
      <c r="D23" s="52">
        <v>54198</v>
      </c>
      <c r="E23" s="53">
        <f t="shared" si="0"/>
        <v>-5.8433890549466794E-2</v>
      </c>
      <c r="F23" s="72">
        <v>-7.3420415218630741E-2</v>
      </c>
      <c r="G23" s="76">
        <v>99198</v>
      </c>
      <c r="H23" s="52">
        <v>103342</v>
      </c>
      <c r="I23" s="53">
        <f t="shared" si="1"/>
        <v>-4.0099862592169688E-2</v>
      </c>
      <c r="J23" s="54">
        <v>2.0263158426383487E-3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11936</v>
      </c>
      <c r="D24" s="52">
        <v>13119</v>
      </c>
      <c r="E24" s="53">
        <f t="shared" si="0"/>
        <v>-9.0174555987499017E-2</v>
      </c>
      <c r="F24" s="72">
        <v>0.10086327750313595</v>
      </c>
      <c r="G24" s="76">
        <v>20884</v>
      </c>
      <c r="H24" s="52">
        <v>23274</v>
      </c>
      <c r="I24" s="53">
        <f t="shared" si="1"/>
        <v>-0.10268969665721406</v>
      </c>
      <c r="J24" s="54">
        <v>9.4618110153678492E-2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4201</v>
      </c>
      <c r="D25" s="52">
        <v>2834</v>
      </c>
      <c r="E25" s="53">
        <f t="shared" si="0"/>
        <v>0.48235709244883562</v>
      </c>
      <c r="F25" s="72">
        <v>0.57754412316935788</v>
      </c>
      <c r="G25" s="76">
        <v>7676</v>
      </c>
      <c r="H25" s="52">
        <v>4923</v>
      </c>
      <c r="I25" s="53">
        <f t="shared" si="1"/>
        <v>0.55921186268535439</v>
      </c>
      <c r="J25" s="54">
        <v>0.61722568683633927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15100</v>
      </c>
      <c r="D26" s="52">
        <v>15324</v>
      </c>
      <c r="E26" s="53">
        <f t="shared" si="0"/>
        <v>-1.4617593317671651E-2</v>
      </c>
      <c r="F26" s="72">
        <v>6.7303750406423779E-2</v>
      </c>
      <c r="G26" s="76">
        <v>27481</v>
      </c>
      <c r="H26" s="52">
        <v>28428</v>
      </c>
      <c r="I26" s="53">
        <f t="shared" si="1"/>
        <v>-3.3312227381454895E-2</v>
      </c>
      <c r="J26" s="54">
        <v>0.15607252534600979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1">
        <v>17343</v>
      </c>
      <c r="D27" s="52">
        <v>17149</v>
      </c>
      <c r="E27" s="53">
        <f t="shared" si="0"/>
        <v>1.1312612980348691E-2</v>
      </c>
      <c r="F27" s="72">
        <v>-3.5374603704321661E-2</v>
      </c>
      <c r="G27" s="76">
        <v>31301</v>
      </c>
      <c r="H27" s="52">
        <v>30938</v>
      </c>
      <c r="I27" s="53">
        <f t="shared" si="1"/>
        <v>1.1733143706768479E-2</v>
      </c>
      <c r="J27" s="54">
        <v>2.6174817884377033E-2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4073</v>
      </c>
      <c r="D28" s="52">
        <v>3660</v>
      </c>
      <c r="E28" s="53">
        <f t="shared" si="0"/>
        <v>0.11284153005464481</v>
      </c>
      <c r="F28" s="72">
        <v>0.44238260500035409</v>
      </c>
      <c r="G28" s="76">
        <v>7691</v>
      </c>
      <c r="H28" s="52">
        <v>6518</v>
      </c>
      <c r="I28" s="53">
        <f t="shared" si="1"/>
        <v>0.17996317888922975</v>
      </c>
      <c r="J28" s="54">
        <v>0.5391234740844506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1">
        <v>8784</v>
      </c>
      <c r="D29" s="52">
        <v>9516</v>
      </c>
      <c r="E29" s="53">
        <f t="shared" si="0"/>
        <v>-7.6923076923076872E-2</v>
      </c>
      <c r="F29" s="72">
        <v>-7.1655041217501547E-2</v>
      </c>
      <c r="G29" s="76">
        <v>16192</v>
      </c>
      <c r="H29" s="52">
        <v>17178</v>
      </c>
      <c r="I29" s="53">
        <f t="shared" si="1"/>
        <v>-5.7398998719292105E-2</v>
      </c>
      <c r="J29" s="54">
        <v>-2.6045112781954871E-2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9877</v>
      </c>
      <c r="D30" s="57">
        <v>11434</v>
      </c>
      <c r="E30" s="53">
        <f t="shared" si="0"/>
        <v>-0.13617281791149205</v>
      </c>
      <c r="F30" s="73">
        <v>-5.838274829828205E-2</v>
      </c>
      <c r="G30" s="78">
        <v>16920</v>
      </c>
      <c r="H30" s="57">
        <v>19036</v>
      </c>
      <c r="I30" s="53">
        <f t="shared" si="1"/>
        <v>-0.1111578062618197</v>
      </c>
      <c r="J30" s="58">
        <v>6.4120103258347161E-3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798334</v>
      </c>
      <c r="D31" s="19">
        <v>840340</v>
      </c>
      <c r="E31" s="12">
        <f t="shared" si="0"/>
        <v>-4.9986910060213718E-2</v>
      </c>
      <c r="F31" s="74">
        <v>8.6513151328146964E-3</v>
      </c>
      <c r="G31" s="79">
        <v>1522933</v>
      </c>
      <c r="H31" s="19">
        <v>1560707</v>
      </c>
      <c r="I31" s="12">
        <f t="shared" si="1"/>
        <v>-2.4203133579845493E-2</v>
      </c>
      <c r="J31" s="47">
        <v>8.3742618946874625E-2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VLOOKUP("&lt;T2Titel2&gt;",Uebersetzungen!$B$4:$E$315,Uebersetzungen!$B$2+1,FALSE)</f>
        <v>Hotel- und Kurbetriebe: Logiernächte im Februar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VLOOKUP("&lt;T2SpaltenTitel_1&gt;",Uebersetzungen!$B$4:$E$315,Uebersetzungen!$B$2+1,FALSE)</f>
        <v>Februar 2025</v>
      </c>
      <c r="D39" s="21" t="str">
        <f>VLOOKUP("&lt;T2SpaltenTitel_2&gt;",Uebersetzungen!$B$4:$E$315,Uebersetzungen!$B$2+1,FALSE)</f>
        <v>Februar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VLOOKUP("&lt;T2SpaltenTitel_5&gt;",Uebersetzungen!$B$4:$E$315,Uebersetzungen!$B$2+1,FALSE)</f>
        <v>Januar-Februar 25</v>
      </c>
      <c r="H39" s="22" t="str">
        <f>VLOOKUP("&lt;T2SpaltenTitel_6&gt;",Uebersetzungen!$B$4:$E$315,Uebersetzungen!$B$2+1,FALSE)</f>
        <v>Januar-Februar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514272</v>
      </c>
      <c r="D40" s="17">
        <v>543952</v>
      </c>
      <c r="E40" s="10">
        <f>C40/D40-1</f>
        <v>-5.4563637968055967E-2</v>
      </c>
      <c r="F40" s="80">
        <v>-6.779458243696812E-2</v>
      </c>
      <c r="G40" s="83">
        <v>961912</v>
      </c>
      <c r="H40" s="17">
        <v>992987</v>
      </c>
      <c r="I40" s="10">
        <f>G40/H40-1</f>
        <v>-3.1294468104819062E-2</v>
      </c>
      <c r="J40" s="44">
        <v>1.2256368011792862E-2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88661</v>
      </c>
      <c r="D41" s="17">
        <v>117412</v>
      </c>
      <c r="E41" s="10">
        <f t="shared" ref="E41:E74" si="2">C41/D41-1</f>
        <v>-0.24487275576602052</v>
      </c>
      <c r="F41" s="80">
        <v>-6.4773168385343749E-2</v>
      </c>
      <c r="G41" s="83">
        <v>187185</v>
      </c>
      <c r="H41" s="17">
        <v>222071</v>
      </c>
      <c r="I41" s="10">
        <f t="shared" ref="I41:I74" si="3">G41/H41-1</f>
        <v>-0.15709390240058363</v>
      </c>
      <c r="J41" s="44">
        <v>4.7790228125346168E-2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19035</v>
      </c>
      <c r="D42" s="17">
        <v>14820</v>
      </c>
      <c r="E42" s="10">
        <f t="shared" si="2"/>
        <v>0.28441295546558698</v>
      </c>
      <c r="F42" s="80">
        <v>1.0960424604135928</v>
      </c>
      <c r="G42" s="83">
        <v>42345</v>
      </c>
      <c r="H42" s="17">
        <v>35534</v>
      </c>
      <c r="I42" s="10">
        <f t="shared" si="3"/>
        <v>0.191675578319356</v>
      </c>
      <c r="J42" s="44">
        <v>0.90989292511974873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35602</v>
      </c>
      <c r="D43" s="17">
        <v>34722</v>
      </c>
      <c r="E43" s="10">
        <f t="shared" si="2"/>
        <v>2.5344162202638021E-2</v>
      </c>
      <c r="F43" s="80">
        <v>0.27645080562467284</v>
      </c>
      <c r="G43" s="83">
        <v>58208</v>
      </c>
      <c r="H43" s="17">
        <v>55150</v>
      </c>
      <c r="I43" s="10">
        <f t="shared" si="3"/>
        <v>5.5448776065276428E-2</v>
      </c>
      <c r="J43" s="44">
        <v>0.3140689904280296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7818</v>
      </c>
      <c r="D44" s="17">
        <v>12515</v>
      </c>
      <c r="E44" s="10">
        <f t="shared" si="2"/>
        <v>-0.37530962844586491</v>
      </c>
      <c r="F44" s="80">
        <v>-0.26517031355741039</v>
      </c>
      <c r="G44" s="83">
        <v>12479</v>
      </c>
      <c r="H44" s="17">
        <v>18650</v>
      </c>
      <c r="I44" s="10">
        <f t="shared" si="3"/>
        <v>-0.33088471849865952</v>
      </c>
      <c r="J44" s="44">
        <v>-0.21232357916529909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18685</v>
      </c>
      <c r="D45" s="17">
        <v>18836</v>
      </c>
      <c r="E45" s="10">
        <f t="shared" si="2"/>
        <v>-8.0165640263325511E-3</v>
      </c>
      <c r="F45" s="80">
        <v>0.31264664971267186</v>
      </c>
      <c r="G45" s="83">
        <v>28702</v>
      </c>
      <c r="H45" s="17">
        <v>29683</v>
      </c>
      <c r="I45" s="10">
        <f t="shared" si="3"/>
        <v>-3.3049220092308706E-2</v>
      </c>
      <c r="J45" s="44">
        <v>0.2372191665086123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5876</v>
      </c>
      <c r="D46" s="17">
        <v>4750</v>
      </c>
      <c r="E46" s="10">
        <f t="shared" si="2"/>
        <v>0.2370526315789474</v>
      </c>
      <c r="F46" s="80">
        <v>0.3918233928656023</v>
      </c>
      <c r="G46" s="83">
        <v>9891</v>
      </c>
      <c r="H46" s="17">
        <v>8815</v>
      </c>
      <c r="I46" s="10">
        <f t="shared" si="3"/>
        <v>0.12206466250709025</v>
      </c>
      <c r="J46" s="44">
        <v>0.25862112844527019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14289</v>
      </c>
      <c r="D47" s="17">
        <v>15273</v>
      </c>
      <c r="E47" s="10">
        <f t="shared" si="2"/>
        <v>-6.442742093891185E-2</v>
      </c>
      <c r="F47" s="80">
        <v>0.25604331850705853</v>
      </c>
      <c r="G47" s="83">
        <v>29596</v>
      </c>
      <c r="H47" s="17">
        <v>30363</v>
      </c>
      <c r="I47" s="10">
        <f t="shared" si="3"/>
        <v>-2.5261008464249279E-2</v>
      </c>
      <c r="J47" s="44">
        <v>0.27313241506284802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13914</v>
      </c>
      <c r="D48" s="17">
        <v>10525</v>
      </c>
      <c r="E48" s="10">
        <f t="shared" si="2"/>
        <v>0.32199524940617574</v>
      </c>
      <c r="F48" s="80">
        <v>0.35489902039067522</v>
      </c>
      <c r="G48" s="83">
        <v>22055</v>
      </c>
      <c r="H48" s="17">
        <v>18054</v>
      </c>
      <c r="I48" s="10">
        <f t="shared" si="3"/>
        <v>0.22161293896089518</v>
      </c>
      <c r="J48" s="44">
        <v>0.38508591237942125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2030</v>
      </c>
      <c r="D49" s="17">
        <v>1762</v>
      </c>
      <c r="E49" s="10">
        <f t="shared" si="2"/>
        <v>0.15209988649262196</v>
      </c>
      <c r="F49" s="80">
        <v>0.7942372282128336</v>
      </c>
      <c r="G49" s="83">
        <v>7607</v>
      </c>
      <c r="H49" s="17">
        <v>8072</v>
      </c>
      <c r="I49" s="10">
        <f t="shared" si="3"/>
        <v>-5.7606541129831546E-2</v>
      </c>
      <c r="J49" s="44">
        <v>0.69821851140777791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326</v>
      </c>
      <c r="D50" s="17">
        <v>377</v>
      </c>
      <c r="E50" s="10">
        <f t="shared" si="2"/>
        <v>-0.13527851458885942</v>
      </c>
      <c r="F50" s="80">
        <v>1.2451790633608817</v>
      </c>
      <c r="G50" s="83">
        <v>630</v>
      </c>
      <c r="H50" s="17">
        <v>572</v>
      </c>
      <c r="I50" s="10">
        <f t="shared" si="3"/>
        <v>0.10139860139860146</v>
      </c>
      <c r="J50" s="44">
        <v>1.2277227722772279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2825</v>
      </c>
      <c r="D51" s="17">
        <v>2203</v>
      </c>
      <c r="E51" s="10">
        <f t="shared" si="2"/>
        <v>0.28234226055379019</v>
      </c>
      <c r="F51" s="80">
        <v>0.75618550292179543</v>
      </c>
      <c r="G51" s="83">
        <v>5348</v>
      </c>
      <c r="H51" s="17">
        <v>3717</v>
      </c>
      <c r="I51" s="10">
        <f t="shared" si="3"/>
        <v>0.43879472693032007</v>
      </c>
      <c r="J51" s="44">
        <v>0.75840073650292639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2438</v>
      </c>
      <c r="D52" s="17">
        <v>1856</v>
      </c>
      <c r="E52" s="10">
        <f t="shared" si="2"/>
        <v>0.31357758620689657</v>
      </c>
      <c r="F52" s="80">
        <v>1.0353982300884956</v>
      </c>
      <c r="G52" s="83">
        <v>4605</v>
      </c>
      <c r="H52" s="17">
        <v>4198</v>
      </c>
      <c r="I52" s="10">
        <f t="shared" si="3"/>
        <v>9.6950929013816189E-2</v>
      </c>
      <c r="J52" s="44">
        <v>0.61908445257014288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583</v>
      </c>
      <c r="D53" s="17">
        <v>606</v>
      </c>
      <c r="E53" s="10">
        <f t="shared" si="2"/>
        <v>-3.7953795379537913E-2</v>
      </c>
      <c r="F53" s="80">
        <v>0.60606060606060597</v>
      </c>
      <c r="G53" s="83">
        <v>1685</v>
      </c>
      <c r="H53" s="17">
        <v>1569</v>
      </c>
      <c r="I53" s="10">
        <f t="shared" si="3"/>
        <v>7.3932441045251762E-2</v>
      </c>
      <c r="J53" s="44">
        <v>0.46394439617723715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850</v>
      </c>
      <c r="D54" s="17">
        <v>973</v>
      </c>
      <c r="E54" s="10">
        <f t="shared" si="2"/>
        <v>-0.12641315519013363</v>
      </c>
      <c r="F54" s="80">
        <v>0.46855563234277819</v>
      </c>
      <c r="G54" s="83">
        <v>2685</v>
      </c>
      <c r="H54" s="17">
        <v>2382</v>
      </c>
      <c r="I54" s="10">
        <f t="shared" si="3"/>
        <v>0.12720403022670035</v>
      </c>
      <c r="J54" s="44">
        <v>0.44215275539800203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6224</v>
      </c>
      <c r="D55" s="17">
        <v>4314</v>
      </c>
      <c r="E55" s="10">
        <f t="shared" si="2"/>
        <v>0.44274455261937873</v>
      </c>
      <c r="F55" s="80">
        <v>-0.2410311440626296</v>
      </c>
      <c r="G55" s="83">
        <v>10701</v>
      </c>
      <c r="H55" s="17">
        <v>10831</v>
      </c>
      <c r="I55" s="10">
        <f t="shared" si="3"/>
        <v>-1.2002585172190883E-2</v>
      </c>
      <c r="J55" s="44">
        <v>-0.41565462408806964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4692</v>
      </c>
      <c r="D56" s="17">
        <v>4628</v>
      </c>
      <c r="E56" s="10">
        <f t="shared" si="2"/>
        <v>1.3828867761451979E-2</v>
      </c>
      <c r="F56" s="80">
        <v>0.30391285015562475</v>
      </c>
      <c r="G56" s="83">
        <v>17120</v>
      </c>
      <c r="H56" s="17">
        <v>15525</v>
      </c>
      <c r="I56" s="10">
        <f t="shared" si="3"/>
        <v>0.10273752012882453</v>
      </c>
      <c r="J56" s="44">
        <v>0.68361426351710164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731</v>
      </c>
      <c r="D57" s="17">
        <v>510</v>
      </c>
      <c r="E57" s="10">
        <f t="shared" si="2"/>
        <v>0.43333333333333335</v>
      </c>
      <c r="F57" s="80">
        <v>0.99617695248498084</v>
      </c>
      <c r="G57" s="83">
        <v>2643</v>
      </c>
      <c r="H57" s="17">
        <v>1775</v>
      </c>
      <c r="I57" s="10">
        <f t="shared" si="3"/>
        <v>0.48901408450704231</v>
      </c>
      <c r="J57" s="44">
        <v>1.4971655328798184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4244</v>
      </c>
      <c r="D58" s="17">
        <v>3688</v>
      </c>
      <c r="E58" s="10">
        <f t="shared" si="2"/>
        <v>0.15075921908893708</v>
      </c>
      <c r="F58" s="80">
        <v>0.65342060152719328</v>
      </c>
      <c r="G58" s="83">
        <v>6648</v>
      </c>
      <c r="H58" s="17">
        <v>6029</v>
      </c>
      <c r="I58" s="10">
        <f t="shared" si="3"/>
        <v>0.10267042627301382</v>
      </c>
      <c r="J58" s="44">
        <v>0.32340645777760102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3816</v>
      </c>
      <c r="D59" s="17">
        <v>3015</v>
      </c>
      <c r="E59" s="10">
        <f t="shared" si="2"/>
        <v>0.26567164179104474</v>
      </c>
      <c r="F59" s="80">
        <v>0.33547980681738632</v>
      </c>
      <c r="G59" s="83">
        <v>5909</v>
      </c>
      <c r="H59" s="17">
        <v>5125</v>
      </c>
      <c r="I59" s="10">
        <f t="shared" si="3"/>
        <v>0.15297560975609747</v>
      </c>
      <c r="J59" s="44">
        <v>0.30811121933941377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2815</v>
      </c>
      <c r="D60" s="17">
        <v>2455</v>
      </c>
      <c r="E60" s="10">
        <f t="shared" si="2"/>
        <v>0.14663951120162944</v>
      </c>
      <c r="F60" s="80">
        <v>-2.5141986424712548E-2</v>
      </c>
      <c r="G60" s="83">
        <v>4001</v>
      </c>
      <c r="H60" s="17">
        <v>3540</v>
      </c>
      <c r="I60" s="10">
        <f t="shared" si="3"/>
        <v>0.13022598870056501</v>
      </c>
      <c r="J60" s="44">
        <v>3.7496110361995738E-2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2699</v>
      </c>
      <c r="D61" s="17">
        <v>2221</v>
      </c>
      <c r="E61" s="10">
        <f t="shared" si="2"/>
        <v>0.21521837010355704</v>
      </c>
      <c r="F61" s="80">
        <v>0.69152669842065695</v>
      </c>
      <c r="G61" s="83">
        <v>5662</v>
      </c>
      <c r="H61" s="17">
        <v>4958</v>
      </c>
      <c r="I61" s="10">
        <f t="shared" si="3"/>
        <v>0.14199273900766429</v>
      </c>
      <c r="J61" s="44">
        <v>0.68863704145541305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4595</v>
      </c>
      <c r="D62" s="17">
        <v>4648</v>
      </c>
      <c r="E62" s="10">
        <f t="shared" si="2"/>
        <v>-1.1402753872633342E-2</v>
      </c>
      <c r="F62" s="80">
        <v>-6.8367057296946587E-2</v>
      </c>
      <c r="G62" s="83">
        <v>7059</v>
      </c>
      <c r="H62" s="17">
        <v>7649</v>
      </c>
      <c r="I62" s="10">
        <f t="shared" si="3"/>
        <v>-7.7134265917113365E-2</v>
      </c>
      <c r="J62" s="44">
        <v>-4.4285230734514291E-3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2686</v>
      </c>
      <c r="D63" s="17">
        <v>2178</v>
      </c>
      <c r="E63" s="10">
        <f t="shared" si="2"/>
        <v>0.23324150596877868</v>
      </c>
      <c r="F63" s="80">
        <v>1.2988702499144127</v>
      </c>
      <c r="G63" s="83">
        <v>5078</v>
      </c>
      <c r="H63" s="17">
        <v>3774</v>
      </c>
      <c r="I63" s="10">
        <f t="shared" si="3"/>
        <v>0.34552199258081617</v>
      </c>
      <c r="J63" s="44">
        <v>1.4636134290704446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3330</v>
      </c>
      <c r="D66" s="17">
        <v>3644</v>
      </c>
      <c r="E66" s="10">
        <f t="shared" si="2"/>
        <v>-8.6169045005488498E-2</v>
      </c>
      <c r="F66" s="80">
        <v>1.2454484153742413</v>
      </c>
      <c r="G66" s="83">
        <v>7361</v>
      </c>
      <c r="H66" s="17">
        <v>6738</v>
      </c>
      <c r="I66" s="10">
        <f t="shared" si="3"/>
        <v>9.246067082220244E-2</v>
      </c>
      <c r="J66" s="44">
        <v>1.4927192685404673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10060</v>
      </c>
      <c r="D67" s="17">
        <v>7968</v>
      </c>
      <c r="E67" s="10">
        <f t="shared" si="2"/>
        <v>0.26255020080321279</v>
      </c>
      <c r="F67" s="80">
        <v>0.4802825191288993</v>
      </c>
      <c r="G67" s="83">
        <v>17344</v>
      </c>
      <c r="H67" s="17">
        <v>14439</v>
      </c>
      <c r="I67" s="10">
        <f t="shared" si="3"/>
        <v>0.20119121822840924</v>
      </c>
      <c r="J67" s="44">
        <v>0.50730884883458183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3128</v>
      </c>
      <c r="D68" s="17">
        <v>3714</v>
      </c>
      <c r="E68" s="10">
        <f t="shared" si="2"/>
        <v>-0.15778136779752283</v>
      </c>
      <c r="F68" s="80">
        <v>0.32306911428813145</v>
      </c>
      <c r="G68" s="83">
        <v>9526</v>
      </c>
      <c r="H68" s="17">
        <v>9344</v>
      </c>
      <c r="I68" s="10">
        <f t="shared" si="3"/>
        <v>1.9477739726027288E-2</v>
      </c>
      <c r="J68" s="44">
        <v>0.46324229670363426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11989</v>
      </c>
      <c r="D69" s="17">
        <v>8086</v>
      </c>
      <c r="E69" s="10">
        <f t="shared" si="2"/>
        <v>0.48268612416522383</v>
      </c>
      <c r="F69" s="80">
        <v>0.53014600775985299</v>
      </c>
      <c r="G69" s="83">
        <v>23248</v>
      </c>
      <c r="H69" s="17">
        <v>18295</v>
      </c>
      <c r="I69" s="10">
        <f t="shared" si="3"/>
        <v>0.27072970757037451</v>
      </c>
      <c r="J69" s="44">
        <v>0.16077491511883357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2551</v>
      </c>
      <c r="D70" s="17">
        <v>2285</v>
      </c>
      <c r="E70" s="10">
        <f t="shared" si="2"/>
        <v>0.11641137855579875</v>
      </c>
      <c r="F70" s="80">
        <v>1.1792243294037248</v>
      </c>
      <c r="G70" s="83">
        <v>7190</v>
      </c>
      <c r="H70" s="17">
        <v>5766</v>
      </c>
      <c r="I70" s="10">
        <f t="shared" si="3"/>
        <v>0.24696496704821369</v>
      </c>
      <c r="J70" s="44">
        <v>1.0845413429200974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963</v>
      </c>
      <c r="D71" s="17">
        <v>803</v>
      </c>
      <c r="E71" s="10">
        <f t="shared" si="2"/>
        <v>0.19925280199252793</v>
      </c>
      <c r="F71" s="80">
        <v>0.67653203342618395</v>
      </c>
      <c r="G71" s="83">
        <v>2940</v>
      </c>
      <c r="H71" s="17">
        <v>3285</v>
      </c>
      <c r="I71" s="10">
        <f t="shared" si="3"/>
        <v>-0.10502283105022836</v>
      </c>
      <c r="J71" s="44">
        <v>0.53621068032187247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6607</v>
      </c>
      <c r="D72" s="17">
        <v>5601</v>
      </c>
      <c r="E72" s="10">
        <f t="shared" si="2"/>
        <v>0.17961078378860917</v>
      </c>
      <c r="F72" s="80">
        <v>0.70406478902300629</v>
      </c>
      <c r="G72" s="83">
        <v>15570</v>
      </c>
      <c r="H72" s="17">
        <v>11817</v>
      </c>
      <c r="I72" s="10">
        <f t="shared" si="3"/>
        <v>0.31759329779131762</v>
      </c>
      <c r="J72" s="44">
        <v>0.86677217466369361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42</v>
      </c>
      <c r="F73" s="46" t="s">
        <v>42</v>
      </c>
      <c r="G73" s="84">
        <v>0</v>
      </c>
      <c r="H73" s="18">
        <v>0</v>
      </c>
      <c r="I73" s="11" t="s">
        <v>42</v>
      </c>
      <c r="J73" s="46" t="s">
        <v>42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798334</v>
      </c>
      <c r="D74" s="40">
        <v>840340</v>
      </c>
      <c r="E74" s="65">
        <f t="shared" si="2"/>
        <v>-4.9986910060213718E-2</v>
      </c>
      <c r="F74" s="82">
        <v>8.6513151328146964E-3</v>
      </c>
      <c r="G74" s="79">
        <v>1522933</v>
      </c>
      <c r="H74" s="40">
        <v>1560707</v>
      </c>
      <c r="I74" s="65">
        <f t="shared" si="3"/>
        <v>-2.4203133579845493E-2</v>
      </c>
      <c r="J74" s="66">
        <v>8.3742618946874625E-2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VLOOKUP("&lt;T2Titel3&gt;",Uebersetzungen!$B$4:$E$315,Uebersetzungen!$B$2+1,FALSE)</f>
        <v>Hotel- und Kurbetriebe: Logiernächte im Februar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VLOOKUP("&lt;T2SpaltenTitel_1&gt;",Uebersetzungen!$B$4:$E$315,Uebersetzungen!$B$2+1,FALSE)</f>
        <v>Februar 2025</v>
      </c>
      <c r="D82" s="21" t="str">
        <f>VLOOKUP("&lt;T2SpaltenTitel_2&gt;",Uebersetzungen!$B$4:$E$315,Uebersetzungen!$B$2+1,FALSE)</f>
        <v>Februar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VLOOKUP("&lt;T2SpaltenTitel_5&gt;",Uebersetzungen!$B$4:$E$315,Uebersetzungen!$B$2+1,FALSE)</f>
        <v>Januar-Februar 25</v>
      </c>
      <c r="H82" s="22" t="str">
        <f>VLOOKUP("&lt;T2SpaltenTitel_6&gt;",Uebersetzungen!$B$4:$E$315,Uebersetzungen!$B$2+1,FALSE)</f>
        <v>Januar-Februar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74619</v>
      </c>
      <c r="D83" s="17">
        <v>73108</v>
      </c>
      <c r="E83" s="10">
        <f>C83/D83-1</f>
        <v>2.0668052743885834E-2</v>
      </c>
      <c r="F83" s="80">
        <v>0.27494566628849504</v>
      </c>
      <c r="G83" s="83">
        <v>146869</v>
      </c>
      <c r="H83" s="17">
        <v>144160</v>
      </c>
      <c r="I83" s="10">
        <f>G83/H83-1</f>
        <v>1.879162042175353E-2</v>
      </c>
      <c r="J83" s="44">
        <v>0.27714839266210767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115820</v>
      </c>
      <c r="D84" s="17">
        <v>107768</v>
      </c>
      <c r="E84" s="10">
        <f t="shared" ref="E84:E96" si="4">C84/D84-1</f>
        <v>7.4716056714423607E-2</v>
      </c>
      <c r="F84" s="80">
        <v>0.42357415196426684</v>
      </c>
      <c r="G84" s="83">
        <v>220199</v>
      </c>
      <c r="H84" s="17">
        <v>208454</v>
      </c>
      <c r="I84" s="10">
        <f t="shared" ref="I84:I96" si="5">G84/H84-1</f>
        <v>5.63433659224577E-2</v>
      </c>
      <c r="J84" s="44">
        <v>0.4057109661274465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418544</v>
      </c>
      <c r="D85" s="17">
        <v>463637</v>
      </c>
      <c r="E85" s="10">
        <f t="shared" si="4"/>
        <v>-9.7259278271578875E-2</v>
      </c>
      <c r="F85" s="80">
        <v>2.5678224285507145E-2</v>
      </c>
      <c r="G85" s="83">
        <v>817740</v>
      </c>
      <c r="H85" s="17">
        <v>863752</v>
      </c>
      <c r="I85" s="10">
        <f t="shared" si="5"/>
        <v>-5.326992006964959E-2</v>
      </c>
      <c r="J85" s="44">
        <v>0.10765614790204459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30553</v>
      </c>
      <c r="D86" s="17">
        <v>29759</v>
      </c>
      <c r="E86" s="10">
        <f t="shared" si="4"/>
        <v>2.6681004065996827E-2</v>
      </c>
      <c r="F86" s="80">
        <v>0.18393111786223559</v>
      </c>
      <c r="G86" s="83">
        <v>57963</v>
      </c>
      <c r="H86" s="17">
        <v>59818</v>
      </c>
      <c r="I86" s="10">
        <f t="shared" si="5"/>
        <v>-3.1010732555418086E-2</v>
      </c>
      <c r="J86" s="44">
        <v>0.19057693571710255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255524</v>
      </c>
      <c r="D87" s="17">
        <v>248121</v>
      </c>
      <c r="E87" s="10">
        <f t="shared" si="4"/>
        <v>2.9836249249358238E-2</v>
      </c>
      <c r="F87" s="80">
        <v>0.43309826373037175</v>
      </c>
      <c r="G87" s="83">
        <v>523080</v>
      </c>
      <c r="H87" s="17">
        <v>493175</v>
      </c>
      <c r="I87" s="10">
        <f t="shared" si="5"/>
        <v>6.0637704668728087E-2</v>
      </c>
      <c r="J87" s="44">
        <v>0.49605051587258475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798334</v>
      </c>
      <c r="D88" s="62">
        <v>840340</v>
      </c>
      <c r="E88" s="63">
        <f t="shared" si="4"/>
        <v>-4.9986910060213718E-2</v>
      </c>
      <c r="F88" s="85">
        <v>8.6513151328146964E-3</v>
      </c>
      <c r="G88" s="87">
        <v>1522933</v>
      </c>
      <c r="H88" s="62">
        <v>1560707</v>
      </c>
      <c r="I88" s="63">
        <f t="shared" si="5"/>
        <v>-2.4203133579845493E-2</v>
      </c>
      <c r="J88" s="64">
        <v>8.3742618946874625E-2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32133</v>
      </c>
      <c r="D89" s="17">
        <v>32413</v>
      </c>
      <c r="E89" s="10">
        <f t="shared" si="4"/>
        <v>-8.6385092401196628E-3</v>
      </c>
      <c r="F89" s="80">
        <v>0.11066945028204844</v>
      </c>
      <c r="G89" s="83">
        <v>61203</v>
      </c>
      <c r="H89" s="17">
        <v>60332</v>
      </c>
      <c r="I89" s="10">
        <f t="shared" si="5"/>
        <v>1.4436783133328968E-2</v>
      </c>
      <c r="J89" s="44">
        <v>0.15197407056059986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250585</v>
      </c>
      <c r="D90" s="17">
        <v>261555</v>
      </c>
      <c r="E90" s="10">
        <f t="shared" si="4"/>
        <v>-4.1941465466154293E-2</v>
      </c>
      <c r="F90" s="80">
        <v>0.10701196669399748</v>
      </c>
      <c r="G90" s="83">
        <v>492334</v>
      </c>
      <c r="H90" s="17">
        <v>487746</v>
      </c>
      <c r="I90" s="10">
        <f t="shared" si="5"/>
        <v>9.40653536881908E-3</v>
      </c>
      <c r="J90" s="44">
        <v>0.18068425556079948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136540</v>
      </c>
      <c r="D91" s="17">
        <v>137487</v>
      </c>
      <c r="E91" s="10">
        <f t="shared" si="4"/>
        <v>-6.887923949173369E-3</v>
      </c>
      <c r="F91" s="80">
        <v>9.4294983586376668E-2</v>
      </c>
      <c r="G91" s="83">
        <v>258733</v>
      </c>
      <c r="H91" s="17">
        <v>260900</v>
      </c>
      <c r="I91" s="10">
        <f t="shared" si="5"/>
        <v>-8.3058643158298029E-3</v>
      </c>
      <c r="J91" s="44">
        <v>0.13404181086928313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75014</v>
      </c>
      <c r="D92" s="17">
        <v>76553</v>
      </c>
      <c r="E92" s="10">
        <f t="shared" si="4"/>
        <v>-2.0103718992070863E-2</v>
      </c>
      <c r="F92" s="80">
        <v>-1.7801962981972896E-2</v>
      </c>
      <c r="G92" s="83">
        <v>135806</v>
      </c>
      <c r="H92" s="17">
        <v>137316</v>
      </c>
      <c r="I92" s="10">
        <f t="shared" si="5"/>
        <v>-1.099653354306851E-2</v>
      </c>
      <c r="J92" s="44">
        <v>3.0422682258392397E-2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206978</v>
      </c>
      <c r="D93" s="17">
        <v>197038</v>
      </c>
      <c r="E93" s="10">
        <f t="shared" si="4"/>
        <v>5.0447121874968248E-2</v>
      </c>
      <c r="F93" s="80">
        <v>0.20725456297405809</v>
      </c>
      <c r="G93" s="83">
        <v>386697</v>
      </c>
      <c r="H93" s="17">
        <v>366196</v>
      </c>
      <c r="I93" s="10">
        <f t="shared" si="5"/>
        <v>5.5983680870353547E-2</v>
      </c>
      <c r="J93" s="44">
        <v>0.20197203271925646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542050</v>
      </c>
      <c r="D94" s="17">
        <v>570741</v>
      </c>
      <c r="E94" s="33">
        <f t="shared" si="4"/>
        <v>-5.0269737061118813E-2</v>
      </c>
      <c r="F94" s="80">
        <v>3.3506547289240407E-2</v>
      </c>
      <c r="G94" s="83">
        <v>1018175</v>
      </c>
      <c r="H94" s="17">
        <v>1041747</v>
      </c>
      <c r="I94" s="33">
        <f t="shared" si="5"/>
        <v>-2.2627374976841752E-2</v>
      </c>
      <c r="J94" s="44">
        <v>9.4937569174610603E-2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422697</v>
      </c>
      <c r="D95" s="18">
        <v>418400</v>
      </c>
      <c r="E95" s="43">
        <f t="shared" si="4"/>
        <v>1.0270076481835533E-2</v>
      </c>
      <c r="F95" s="11">
        <v>0.37178000996957206</v>
      </c>
      <c r="G95" s="84">
        <v>905958</v>
      </c>
      <c r="H95" s="18">
        <v>852587</v>
      </c>
      <c r="I95" s="43">
        <f t="shared" si="5"/>
        <v>6.2598890201234658E-2</v>
      </c>
      <c r="J95" s="48">
        <v>0.44154319101810136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3359391</v>
      </c>
      <c r="D96" s="40">
        <v>3456920</v>
      </c>
      <c r="E96" s="41">
        <f t="shared" si="4"/>
        <v>-2.8212686437638079E-2</v>
      </c>
      <c r="F96" s="86">
        <v>0.11828865226582397</v>
      </c>
      <c r="G96" s="79">
        <v>6547690</v>
      </c>
      <c r="H96" s="40">
        <v>6536890</v>
      </c>
      <c r="I96" s="41">
        <f t="shared" si="5"/>
        <v>1.6521618078322309E-3</v>
      </c>
      <c r="J96" s="45">
        <v>0.18539688452521808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VLOOKUP("&lt;T2Aktualisierung&gt;",Uebersetzungen!$B$4:$E$315,Uebersetzungen!$B$2+1,FALSE)</f>
        <v>Letztmals aktualisiert am: 04.04.2025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VLOOKUP("&lt;T2Legende_3&gt;",Uebersetzungen!$B$4:$E$315,Uebersetzungen!$B$2+1,FALSE)</f>
        <v>Daten des März 2025 erscheinen am 7. Mai 2025.</v>
      </c>
    </row>
    <row r="103" spans="1:6" x14ac:dyDescent="0.2">
      <c r="A103" s="4" t="s">
        <v>47</v>
      </c>
    </row>
  </sheetData>
  <sheetProtection sheet="1" objects="1" scenarios="1"/>
  <mergeCells count="1">
    <mergeCell ref="A7:D7"/>
  </mergeCells>
  <hyperlinks>
    <hyperlink ref="E33" r:id="rId1" xr:uid="{00000000-0004-0000-0A00-000000000000}"/>
    <hyperlink ref="E76" location="Länder_Pajais_Paesi!A1" display="Länder / Pajais / Paese" xr:uid="{00000000-0004-0000-0A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6"/>
  <dimension ref="A1:K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3" width="13.5703125" style="4" customWidth="1"/>
    <col min="4" max="4" width="13.28515625" style="4" customWidth="1"/>
    <col min="5" max="5" width="12.5703125" style="4" customWidth="1"/>
    <col min="6" max="6" width="15.5703125" style="4" bestFit="1" customWidth="1"/>
    <col min="7" max="7" width="11.28515625" style="4" bestFit="1" customWidth="1"/>
    <col min="8" max="8" width="10.7109375" style="4" bestFit="1" customWidth="1"/>
    <col min="9" max="9" width="12.5703125" style="4" customWidth="1"/>
    <col min="10" max="10" width="15.5703125" style="4" bestFit="1" customWidth="1"/>
    <col min="11" max="16384" width="11.42578125" style="4"/>
  </cols>
  <sheetData>
    <row r="1" spans="1:11" s="68" customFormat="1" x14ac:dyDescent="0.2"/>
    <row r="2" spans="1:11" s="68" customFormat="1" ht="15.75" x14ac:dyDescent="0.25">
      <c r="B2" s="69"/>
      <c r="C2" s="4"/>
      <c r="D2" s="4"/>
    </row>
    <row r="3" spans="1:11" s="68" customFormat="1" ht="15.75" x14ac:dyDescent="0.25">
      <c r="B3" s="69"/>
      <c r="C3" s="4"/>
      <c r="D3" s="4"/>
    </row>
    <row r="4" spans="1:11" s="68" customFormat="1" ht="15.75" x14ac:dyDescent="0.25">
      <c r="B4" s="69"/>
      <c r="C4" s="4"/>
      <c r="D4" s="4"/>
    </row>
    <row r="5" spans="1:11" s="68" customFormat="1" x14ac:dyDescent="0.2"/>
    <row r="6" spans="1:11" s="68" customFormat="1" x14ac:dyDescent="0.2"/>
    <row r="7" spans="1:11" ht="15.75" customHeight="1" x14ac:dyDescent="0.2">
      <c r="A7" s="133" t="str">
        <f>VLOOKUP("&lt;Fachbereich&gt;",Uebersetzungen!$B$4:$E$33,Uebersetzungen!$B$2+1,FALSE)</f>
        <v>Daten &amp; Statistik</v>
      </c>
      <c r="B7" s="133"/>
      <c r="C7" s="133"/>
      <c r="D7" s="133"/>
      <c r="E7" s="95"/>
      <c r="F7" s="1"/>
    </row>
    <row r="8" spans="1:11" ht="10.5" customHeight="1" x14ac:dyDescent="0.2"/>
    <row r="9" spans="1:11" ht="18" x14ac:dyDescent="0.25">
      <c r="A9" s="2" t="str">
        <f>VLOOKUP("&lt;Titel1&gt;",Uebersetzungen!$B$4:$E$31,Uebersetzungen!$B$2+1,FALSE)</f>
        <v>Hotel- und Kurbetriebe: Logiernächte im Januar 2025, nach Destinationen</v>
      </c>
      <c r="B9" s="3"/>
      <c r="C9" s="3"/>
      <c r="D9" s="3"/>
      <c r="E9" s="3"/>
      <c r="F9" s="3"/>
    </row>
    <row r="10" spans="1:11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1" ht="13.5" thickBot="1" x14ac:dyDescent="0.25"/>
    <row r="12" spans="1:11" ht="51" customHeight="1" x14ac:dyDescent="0.2">
      <c r="A12" s="8"/>
      <c r="B12" s="9"/>
      <c r="C12" s="20" t="str">
        <f>VLOOKUP("&lt;SpaltenTitel_1&gt;",Uebersetzungen!$B$4:$E$34,Uebersetzungen!$B$2+1,FALSE)</f>
        <v>Januar 2025</v>
      </c>
      <c r="D12" s="21" t="str">
        <f>VLOOKUP("&lt;SpaltenTitel_2&gt;",Uebersetzungen!$B$4:$E$34,Uebersetzungen!$B$2+1,FALSE)</f>
        <v>Januar 2024</v>
      </c>
      <c r="E12" s="22" t="str">
        <f>VLOOKUP("&lt;SpaltenTitel_3&gt;",Uebersetzungen!$B$4:$E$34,Uebersetzungen!$B$2+1,FALSE)</f>
        <v>Veränderung 25/24 in %</v>
      </c>
      <c r="F12" s="23" t="str">
        <f>VLOOKUP("&lt;SpaltenTitel_4&gt;",Uebersetzungen!$B$4:$E$34,Uebersetzungen!$B$2+1,FALSE)</f>
        <v>Veränderung zum
5-Jahresmittel 
in %</v>
      </c>
      <c r="G12" s="97"/>
      <c r="H12" s="97"/>
      <c r="I12" s="97"/>
      <c r="J12" s="97"/>
      <c r="K12" s="96"/>
    </row>
    <row r="13" spans="1:11" x14ac:dyDescent="0.2">
      <c r="A13" s="24" t="str">
        <f>VLOOKUP("&lt;Zeilentitel_1&gt;",Uebersetzungen!$B$4:$E$88,Uebersetzungen!$B$2+1,FALSE)</f>
        <v>Arosa</v>
      </c>
      <c r="B13" s="5"/>
      <c r="C13" s="51">
        <v>74798</v>
      </c>
      <c r="D13" s="52">
        <v>73012</v>
      </c>
      <c r="E13" s="53">
        <f t="shared" ref="E13:E31" si="0">C13/D13-1</f>
        <v>2.4461732317975216E-2</v>
      </c>
      <c r="F13" s="54">
        <v>0.22673970445935088</v>
      </c>
      <c r="G13" s="101"/>
      <c r="H13" s="102"/>
      <c r="I13" s="103"/>
      <c r="J13" s="104"/>
      <c r="K13" s="96"/>
    </row>
    <row r="14" spans="1:11" x14ac:dyDescent="0.2">
      <c r="A14" s="24" t="str">
        <f>VLOOKUP("&lt;Zeilentitel_2&gt;",Uebersetzungen!$B$4:$E$88,Uebersetzungen!$B$2+1,FALSE)</f>
        <v>Bergün Filisur</v>
      </c>
      <c r="B14" s="5"/>
      <c r="C14" s="51">
        <v>7607</v>
      </c>
      <c r="D14" s="52">
        <v>7228</v>
      </c>
      <c r="E14" s="53">
        <f t="shared" si="0"/>
        <v>5.2434975096845582E-2</v>
      </c>
      <c r="F14" s="54">
        <v>6.5824132713108829E-2</v>
      </c>
      <c r="G14" s="101"/>
      <c r="H14" s="102"/>
      <c r="I14" s="103"/>
      <c r="J14" s="104"/>
      <c r="K14" s="96"/>
    </row>
    <row r="15" spans="1:11" x14ac:dyDescent="0.2">
      <c r="A15" s="24" t="str">
        <f>VLOOKUP("&lt;Zeilentitel_3&gt;",Uebersetzungen!$B$4:$E$88,Uebersetzungen!$B$2+1,FALSE)</f>
        <v>Bregaglia Engadin</v>
      </c>
      <c r="B15" s="5"/>
      <c r="C15" s="51">
        <v>4464</v>
      </c>
      <c r="D15" s="52">
        <v>5121</v>
      </c>
      <c r="E15" s="53">
        <f t="shared" si="0"/>
        <v>-0.12829525483304038</v>
      </c>
      <c r="F15" s="54">
        <v>4.4943820224719211E-2</v>
      </c>
      <c r="G15" s="101"/>
      <c r="H15" s="102"/>
      <c r="I15" s="103"/>
      <c r="J15" s="104"/>
      <c r="K15" s="96"/>
    </row>
    <row r="16" spans="1:11" x14ac:dyDescent="0.2">
      <c r="A16" s="24" t="str">
        <f>VLOOKUP("&lt;Zeilentitel_4&gt;",Uebersetzungen!$B$4:$E$88,Uebersetzungen!$B$2+1,FALSE)</f>
        <v>Bündner Herrschaft</v>
      </c>
      <c r="B16" s="5"/>
      <c r="C16" s="51">
        <v>3709</v>
      </c>
      <c r="D16" s="52">
        <v>4116</v>
      </c>
      <c r="E16" s="53">
        <f t="shared" si="0"/>
        <v>-9.888241010689991E-2</v>
      </c>
      <c r="F16" s="54">
        <v>0.32853356257611566</v>
      </c>
      <c r="G16" s="101"/>
      <c r="H16" s="102"/>
      <c r="I16" s="103"/>
      <c r="J16" s="104"/>
      <c r="K16" s="96"/>
    </row>
    <row r="17" spans="1:11" x14ac:dyDescent="0.2">
      <c r="A17" s="24" t="str">
        <f>VLOOKUP("&lt;Zeilentitel_5&gt;",Uebersetzungen!$B$4:$E$88,Uebersetzungen!$B$2+1,FALSE)</f>
        <v>Chur</v>
      </c>
      <c r="B17" s="5"/>
      <c r="C17" s="51">
        <v>18504</v>
      </c>
      <c r="D17" s="52">
        <v>17687</v>
      </c>
      <c r="E17" s="53">
        <f t="shared" si="0"/>
        <v>4.6192118505116841E-2</v>
      </c>
      <c r="F17" s="54">
        <v>0.44544431946006746</v>
      </c>
      <c r="G17" s="101"/>
      <c r="H17" s="102"/>
      <c r="I17" s="103"/>
      <c r="J17" s="104"/>
      <c r="K17" s="96"/>
    </row>
    <row r="18" spans="1:11" x14ac:dyDescent="0.2">
      <c r="A18" s="24" t="str">
        <f>VLOOKUP("&lt;Zeilentitel_6&gt;",Uebersetzungen!$B$4:$E$88,Uebersetzungen!$B$2+1,FALSE)</f>
        <v>Davos Klosters</v>
      </c>
      <c r="B18" s="5"/>
      <c r="C18" s="51">
        <v>125699</v>
      </c>
      <c r="D18" s="52">
        <v>133871</v>
      </c>
      <c r="E18" s="53">
        <f t="shared" si="0"/>
        <v>-6.1043840712327491E-2</v>
      </c>
      <c r="F18" s="54">
        <v>0.11474616043604047</v>
      </c>
      <c r="G18" s="101"/>
      <c r="H18" s="102"/>
      <c r="I18" s="103"/>
      <c r="J18" s="104"/>
      <c r="K18" s="96"/>
    </row>
    <row r="19" spans="1:11" x14ac:dyDescent="0.2">
      <c r="A19" s="24" t="str">
        <f>VLOOKUP("&lt;Zeilentitel_7&gt;",Uebersetzungen!$B$4:$E$88,Uebersetzungen!$B$2+1,FALSE)</f>
        <v>Disentis Sedrun</v>
      </c>
      <c r="B19" s="5"/>
      <c r="C19" s="51">
        <v>16750</v>
      </c>
      <c r="D19" s="52">
        <v>19008</v>
      </c>
      <c r="E19" s="53">
        <f t="shared" si="0"/>
        <v>-0.11879208754208759</v>
      </c>
      <c r="F19" s="54">
        <v>0.14966985599956084</v>
      </c>
      <c r="G19" s="101"/>
      <c r="H19" s="102"/>
      <c r="I19" s="103"/>
      <c r="J19" s="104"/>
      <c r="K19" s="96"/>
    </row>
    <row r="20" spans="1:11" x14ac:dyDescent="0.2">
      <c r="A20" s="24" t="str">
        <f>VLOOKUP("&lt;Zeilentitel_8&gt;",Uebersetzungen!$B$4:$E$88,Uebersetzungen!$B$2+1,FALSE)</f>
        <v>Scuol Samnaun Val Müstair</v>
      </c>
      <c r="B20" s="5"/>
      <c r="C20" s="51">
        <v>67105</v>
      </c>
      <c r="D20" s="52">
        <v>64327</v>
      </c>
      <c r="E20" s="53">
        <f t="shared" si="0"/>
        <v>4.31855985822438E-2</v>
      </c>
      <c r="F20" s="54">
        <v>0.22525480114372942</v>
      </c>
      <c r="G20" s="101"/>
      <c r="H20" s="102"/>
      <c r="I20" s="103"/>
      <c r="J20" s="104"/>
      <c r="K20" s="96"/>
    </row>
    <row r="21" spans="1:11" x14ac:dyDescent="0.2">
      <c r="A21" s="24" t="str">
        <f>VLOOKUP("&lt;Zeilentitel_9&gt;",Uebersetzungen!$B$4:$E$88,Uebersetzungen!$B$2+1,FALSE)</f>
        <v>Engadin St. Moritz</v>
      </c>
      <c r="B21" s="5"/>
      <c r="C21" s="51">
        <v>232959</v>
      </c>
      <c r="D21" s="52">
        <v>222008</v>
      </c>
      <c r="E21" s="53">
        <f t="shared" si="0"/>
        <v>4.9327051277431533E-2</v>
      </c>
      <c r="F21" s="54">
        <v>0.24841241515464274</v>
      </c>
      <c r="G21" s="101"/>
      <c r="H21" s="102"/>
      <c r="I21" s="103"/>
      <c r="J21" s="104"/>
      <c r="K21" s="96"/>
    </row>
    <row r="22" spans="1:11" x14ac:dyDescent="0.2">
      <c r="A22" s="24" t="str">
        <f>VLOOKUP("&lt;Zeilentitel_10&gt;",Uebersetzungen!$B$4:$E$88,Uebersetzungen!$B$2+1,FALSE)</f>
        <v>Flims Laax</v>
      </c>
      <c r="B22" s="5"/>
      <c r="C22" s="51">
        <v>68006</v>
      </c>
      <c r="D22" s="52">
        <v>67586</v>
      </c>
      <c r="E22" s="53">
        <f t="shared" si="0"/>
        <v>6.2143047376674865E-3</v>
      </c>
      <c r="F22" s="54">
        <v>4.5589845143356067E-2</v>
      </c>
      <c r="G22" s="101"/>
      <c r="H22" s="102"/>
      <c r="I22" s="103"/>
      <c r="J22" s="104"/>
      <c r="K22" s="96"/>
    </row>
    <row r="23" spans="1:11" x14ac:dyDescent="0.2">
      <c r="A23" s="24" t="str">
        <f>VLOOKUP("&lt;Zeilentitel_11&gt;",Uebersetzungen!$B$4:$E$88,Uebersetzungen!$B$2+1,FALSE)</f>
        <v>Lenzerheide</v>
      </c>
      <c r="B23" s="5"/>
      <c r="C23" s="51">
        <v>48167</v>
      </c>
      <c r="D23" s="52">
        <v>49144</v>
      </c>
      <c r="E23" s="53">
        <f t="shared" si="0"/>
        <v>-1.9880351619729786E-2</v>
      </c>
      <c r="F23" s="54">
        <v>9.6628630233045243E-2</v>
      </c>
      <c r="G23" s="101"/>
      <c r="H23" s="102"/>
      <c r="I23" s="103"/>
      <c r="J23" s="104"/>
      <c r="K23" s="96"/>
    </row>
    <row r="24" spans="1:11" x14ac:dyDescent="0.2">
      <c r="A24" s="24" t="str">
        <f>VLOOKUP("&lt;Zeilentitel_12&gt;",Uebersetzungen!$B$4:$E$88,Uebersetzungen!$B$2+1,FALSE)</f>
        <v>Prättigau</v>
      </c>
      <c r="B24" s="5"/>
      <c r="C24" s="51">
        <v>8948</v>
      </c>
      <c r="D24" s="52">
        <v>10155</v>
      </c>
      <c r="E24" s="53">
        <f t="shared" si="0"/>
        <v>-0.11885770556376174</v>
      </c>
      <c r="F24" s="54">
        <v>8.6396969549803471E-2</v>
      </c>
      <c r="G24" s="101"/>
      <c r="H24" s="102"/>
      <c r="I24" s="103"/>
      <c r="J24" s="104"/>
      <c r="K24" s="96"/>
    </row>
    <row r="25" spans="1:11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3475</v>
      </c>
      <c r="D25" s="52">
        <v>2089</v>
      </c>
      <c r="E25" s="53">
        <f t="shared" si="0"/>
        <v>0.66347534705600775</v>
      </c>
      <c r="F25" s="54">
        <v>0.66794662570797736</v>
      </c>
      <c r="G25" s="101"/>
      <c r="H25" s="102"/>
      <c r="I25" s="103"/>
      <c r="J25" s="104"/>
      <c r="K25" s="96"/>
    </row>
    <row r="26" spans="1:11" x14ac:dyDescent="0.2">
      <c r="A26" s="24" t="str">
        <f>VLOOKUP("&lt;Zeilentitel_14&gt;",Uebersetzungen!$B$4:$E$88,Uebersetzungen!$B$2+1,FALSE)</f>
        <v>Val Surses</v>
      </c>
      <c r="B26" s="5"/>
      <c r="C26" s="51">
        <v>12381</v>
      </c>
      <c r="D26" s="52">
        <v>13104</v>
      </c>
      <c r="E26" s="53">
        <f t="shared" si="0"/>
        <v>-5.51739926739927E-2</v>
      </c>
      <c r="F26" s="54">
        <v>0.28657826918280804</v>
      </c>
      <c r="G26" s="101"/>
      <c r="H26" s="102"/>
      <c r="I26" s="103"/>
      <c r="J26" s="104"/>
      <c r="K26" s="96"/>
    </row>
    <row r="27" spans="1:11" x14ac:dyDescent="0.2">
      <c r="A27" s="24" t="str">
        <f>VLOOKUP("&lt;Zeilentitel_15&gt;",Uebersetzungen!$B$4:$E$88,Uebersetzungen!$B$2+1,FALSE)</f>
        <v>Surselva</v>
      </c>
      <c r="B27" s="5"/>
      <c r="C27" s="51">
        <v>13958</v>
      </c>
      <c r="D27" s="52">
        <v>13789</v>
      </c>
      <c r="E27" s="53">
        <f t="shared" si="0"/>
        <v>1.2256146203495577E-2</v>
      </c>
      <c r="F27" s="54">
        <v>0.11453575649174352</v>
      </c>
      <c r="G27" s="101"/>
      <c r="H27" s="102"/>
      <c r="I27" s="103"/>
      <c r="J27" s="104"/>
      <c r="K27" s="96"/>
    </row>
    <row r="28" spans="1:11" x14ac:dyDescent="0.2">
      <c r="A28" s="24" t="str">
        <f>VLOOKUP("&lt;Zeilentitel_16&gt;",Uebersetzungen!$B$4:$E$88,Uebersetzungen!$B$2+1,FALSE)</f>
        <v>Valposchiavo</v>
      </c>
      <c r="B28" s="5"/>
      <c r="C28" s="51">
        <v>3618</v>
      </c>
      <c r="D28" s="52">
        <v>2858</v>
      </c>
      <c r="E28" s="53">
        <f t="shared" si="0"/>
        <v>0.26592022393282022</v>
      </c>
      <c r="F28" s="54">
        <v>0.66482606294864732</v>
      </c>
      <c r="G28" s="101"/>
      <c r="H28" s="102"/>
      <c r="I28" s="103"/>
      <c r="J28" s="104"/>
      <c r="K28" s="96"/>
    </row>
    <row r="29" spans="1:11" x14ac:dyDescent="0.2">
      <c r="A29" s="24" t="str">
        <f>VLOOKUP("&lt;Zeilentitel_17&gt;",Uebersetzungen!$B$4:$E$88,Uebersetzungen!$B$2+1,FALSE)</f>
        <v>Vals</v>
      </c>
      <c r="B29" s="5"/>
      <c r="C29" s="51">
        <v>7408</v>
      </c>
      <c r="D29" s="52">
        <v>7662</v>
      </c>
      <c r="E29" s="53">
        <f t="shared" si="0"/>
        <v>-3.3150613416862429E-2</v>
      </c>
      <c r="F29" s="54">
        <v>3.4203546000279195E-2</v>
      </c>
      <c r="G29" s="101"/>
      <c r="H29" s="102"/>
      <c r="I29" s="103"/>
      <c r="J29" s="104"/>
      <c r="K29" s="96"/>
    </row>
    <row r="30" spans="1:11" x14ac:dyDescent="0.2">
      <c r="A30" s="24" t="str">
        <f>VLOOKUP("&lt;Zeilentitel_18&gt;",Uebersetzungen!$B$4:$E$88,Uebersetzungen!$B$2+1,FALSE)</f>
        <v>Viamala</v>
      </c>
      <c r="B30" s="5"/>
      <c r="C30" s="51">
        <v>7043</v>
      </c>
      <c r="D30" s="52">
        <v>7602</v>
      </c>
      <c r="E30" s="53">
        <f t="shared" si="0"/>
        <v>-7.3533280715601168E-2</v>
      </c>
      <c r="F30" s="54">
        <v>0.11390523185930279</v>
      </c>
      <c r="G30" s="101"/>
      <c r="H30" s="102"/>
      <c r="I30" s="103"/>
      <c r="J30" s="104"/>
      <c r="K30" s="96"/>
    </row>
    <row r="31" spans="1:11" ht="13.5" thickBot="1" x14ac:dyDescent="0.25">
      <c r="A31" s="26" t="str">
        <f>VLOOKUP("&lt;Zeilentitel_19&gt;",Uebersetzungen!$B$4:$E$88,Uebersetzungen!$B$2+1,FALSE)</f>
        <v>Graubünden</v>
      </c>
      <c r="B31" s="25"/>
      <c r="C31" s="121">
        <v>724599</v>
      </c>
      <c r="D31" s="122">
        <v>720367</v>
      </c>
      <c r="E31" s="12">
        <f t="shared" si="0"/>
        <v>5.8747832701941949E-3</v>
      </c>
      <c r="F31" s="47">
        <v>0.18057705304359883</v>
      </c>
      <c r="G31" s="29"/>
      <c r="H31" s="98"/>
      <c r="I31" s="99"/>
      <c r="J31" s="99"/>
      <c r="K31" s="96"/>
    </row>
    <row r="32" spans="1:11" x14ac:dyDescent="0.2">
      <c r="C32" s="15"/>
      <c r="D32" s="16"/>
      <c r="E32" s="28"/>
      <c r="F32" s="27"/>
      <c r="I32" s="15"/>
      <c r="J32" s="15"/>
    </row>
    <row r="33" spans="1:11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1" x14ac:dyDescent="0.2">
      <c r="C35" s="15"/>
    </row>
    <row r="36" spans="1:11" ht="18" x14ac:dyDescent="0.25">
      <c r="A36" s="2" t="str">
        <f>VLOOKUP("&lt;Titel2&gt;",Uebersetzungen!$B$4:$E$31,Uebersetzungen!$B$2+1,FALSE)</f>
        <v>Hotel- und Kurbetriebe: Logiernächte im Januar 2025, nach Herkunft</v>
      </c>
      <c r="B36" s="3"/>
      <c r="C36" s="3"/>
      <c r="D36" s="3"/>
      <c r="E36" s="3"/>
      <c r="F36" s="3"/>
    </row>
    <row r="37" spans="1:11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1" ht="13.5" thickBot="1" x14ac:dyDescent="0.25">
      <c r="G38" s="96"/>
      <c r="H38" s="96"/>
      <c r="I38" s="96"/>
      <c r="J38" s="96"/>
      <c r="K38" s="96"/>
    </row>
    <row r="39" spans="1:11" ht="51" customHeight="1" x14ac:dyDescent="0.2">
      <c r="A39" s="8"/>
      <c r="B39" s="9"/>
      <c r="C39" s="20" t="str">
        <f>VLOOKUP("&lt;SpaltenTitel_1&gt;",Uebersetzungen!$B$4:$E$34,Uebersetzungen!$B$2+1,FALSE)</f>
        <v>Januar 2025</v>
      </c>
      <c r="D39" s="21" t="str">
        <f>VLOOKUP("&lt;SpaltenTitel_2&gt;",Uebersetzungen!$B$4:$E$34,Uebersetzungen!$B$2+1,FALSE)</f>
        <v>Januar 2024</v>
      </c>
      <c r="E39" s="22" t="str">
        <f>VLOOKUP("&lt;SpaltenTitel_3&gt;",Uebersetzungen!$B$4:$E$34,Uebersetzungen!$B$2+1,FALSE)</f>
        <v>Veränderung 25/24 in %</v>
      </c>
      <c r="F39" s="23" t="str">
        <f>VLOOKUP("&lt;SpaltenTitel_4&gt;",Uebersetzungen!$B$4:$E$34,Uebersetzungen!$B$2+1,FALSE)</f>
        <v>Veränderung zum
5-Jahresmittel 
in %</v>
      </c>
      <c r="G39" s="97"/>
      <c r="H39" s="97"/>
      <c r="I39" s="97"/>
      <c r="J39" s="97"/>
      <c r="K39" s="96"/>
    </row>
    <row r="40" spans="1:11" x14ac:dyDescent="0.2">
      <c r="A40" s="24" t="str">
        <f>VLOOKUP("&lt;Zeilentitel_20&gt;",Uebersetzungen!$B$4:$E$88,Uebersetzungen!$B$2+1,FALSE)</f>
        <v>Schweiz</v>
      </c>
      <c r="B40" s="5"/>
      <c r="C40" s="13">
        <v>447640</v>
      </c>
      <c r="D40" s="17">
        <v>449035</v>
      </c>
      <c r="E40" s="10">
        <f>C40/D40-1</f>
        <v>-3.1066620642044018E-3</v>
      </c>
      <c r="F40" s="44">
        <v>0.1230508930417209</v>
      </c>
      <c r="G40" s="29"/>
      <c r="H40" s="98"/>
      <c r="I40" s="99"/>
      <c r="J40" s="100"/>
      <c r="K40" s="96"/>
    </row>
    <row r="41" spans="1:11" x14ac:dyDescent="0.2">
      <c r="A41" s="24" t="str">
        <f>VLOOKUP("&lt;Zeilentitel_21&gt;",Uebersetzungen!$B$4:$E$88,Uebersetzungen!$B$2+1,FALSE)</f>
        <v>Deutschland</v>
      </c>
      <c r="B41" s="5"/>
      <c r="C41" s="13">
        <v>98524</v>
      </c>
      <c r="D41" s="17">
        <v>104659</v>
      </c>
      <c r="E41" s="10">
        <f t="shared" ref="E41:E71" si="1">C41/D41-1</f>
        <v>-5.8618943425792325E-2</v>
      </c>
      <c r="F41" s="44">
        <v>0.17506183971051614</v>
      </c>
      <c r="G41" s="29"/>
      <c r="H41" s="98"/>
      <c r="I41" s="99"/>
      <c r="J41" s="100"/>
      <c r="K41" s="96"/>
    </row>
    <row r="42" spans="1:11" x14ac:dyDescent="0.2">
      <c r="A42" s="24" t="str">
        <f>VLOOKUP("&lt;Zeilentitel_22&gt;",Uebersetzungen!$B$4:$E$88,Uebersetzungen!$B$2+1,FALSE)</f>
        <v>Vereinigte Staaten</v>
      </c>
      <c r="B42" s="5"/>
      <c r="C42" s="13">
        <v>23310</v>
      </c>
      <c r="D42" s="17">
        <v>20714</v>
      </c>
      <c r="E42" s="10">
        <f t="shared" si="1"/>
        <v>0.12532586656367672</v>
      </c>
      <c r="F42" s="44">
        <v>0.78074866310160429</v>
      </c>
      <c r="G42" s="29"/>
      <c r="H42" s="98"/>
      <c r="I42" s="99"/>
      <c r="J42" s="100"/>
      <c r="K42" s="96"/>
    </row>
    <row r="43" spans="1:11" x14ac:dyDescent="0.2">
      <c r="A43" s="24" t="str">
        <f>VLOOKUP("&lt;Zeilentitel_23&gt;",Uebersetzungen!$B$4:$E$88,Uebersetzungen!$B$2+1,FALSE)</f>
        <v>Vereinigtes Königreich</v>
      </c>
      <c r="B43" s="5"/>
      <c r="C43" s="13">
        <v>22606</v>
      </c>
      <c r="D43" s="17">
        <v>20428</v>
      </c>
      <c r="E43" s="10">
        <f t="shared" si="1"/>
        <v>0.10661836694732729</v>
      </c>
      <c r="F43" s="44">
        <v>0.37802811406556702</v>
      </c>
      <c r="G43" s="29"/>
      <c r="H43" s="98"/>
      <c r="I43" s="99"/>
      <c r="J43" s="100"/>
      <c r="K43" s="96"/>
    </row>
    <row r="44" spans="1:11" x14ac:dyDescent="0.2">
      <c r="A44" s="24" t="str">
        <f>VLOOKUP("&lt;Zeilentitel_24&gt;",Uebersetzungen!$B$4:$E$88,Uebersetzungen!$B$2+1,FALSE)</f>
        <v>Belgien</v>
      </c>
      <c r="B44" s="5"/>
      <c r="C44" s="13">
        <v>4661</v>
      </c>
      <c r="D44" s="17">
        <v>6135</v>
      </c>
      <c r="E44" s="10">
        <f t="shared" si="1"/>
        <v>-0.24026079869600647</v>
      </c>
      <c r="F44" s="44">
        <v>-0.10427396417864565</v>
      </c>
      <c r="G44" s="29"/>
      <c r="H44" s="98"/>
      <c r="I44" s="99"/>
      <c r="J44" s="100"/>
      <c r="K44" s="96"/>
    </row>
    <row r="45" spans="1:11" x14ac:dyDescent="0.2">
      <c r="A45" s="24" t="str">
        <f>VLOOKUP("&lt;Zeilentitel_25&gt;",Uebersetzungen!$B$4:$E$88,Uebersetzungen!$B$2+1,FALSE)</f>
        <v>Niederlande</v>
      </c>
      <c r="B45" s="5"/>
      <c r="C45" s="13">
        <v>10017</v>
      </c>
      <c r="D45" s="17">
        <v>10847</v>
      </c>
      <c r="E45" s="10">
        <f t="shared" si="1"/>
        <v>-7.6518853139116771E-2</v>
      </c>
      <c r="F45" s="44">
        <v>0.11744494768077463</v>
      </c>
      <c r="G45" s="29"/>
      <c r="H45" s="98"/>
      <c r="I45" s="99"/>
      <c r="J45" s="100"/>
      <c r="K45" s="96"/>
    </row>
    <row r="46" spans="1:11" x14ac:dyDescent="0.2">
      <c r="A46" s="24" t="str">
        <f>VLOOKUP("&lt;Zeilentitel_26&gt;",Uebersetzungen!$B$4:$E$88,Uebersetzungen!$B$2+1,FALSE)</f>
        <v>Österreich</v>
      </c>
      <c r="B46" s="5"/>
      <c r="C46" s="13">
        <v>4015</v>
      </c>
      <c r="D46" s="17">
        <v>4065</v>
      </c>
      <c r="E46" s="10">
        <f t="shared" si="1"/>
        <v>-1.2300123001230068E-2</v>
      </c>
      <c r="F46" s="44">
        <v>0.10399252089749234</v>
      </c>
      <c r="G46" s="29"/>
      <c r="H46" s="98"/>
      <c r="I46" s="99"/>
      <c r="J46" s="100"/>
      <c r="K46" s="96"/>
    </row>
    <row r="47" spans="1:11" x14ac:dyDescent="0.2">
      <c r="A47" s="24" t="str">
        <f>VLOOKUP("&lt;Zeilentitel_27&gt;",Uebersetzungen!$B$4:$E$88,Uebersetzungen!$B$2+1,FALSE)</f>
        <v>Italien</v>
      </c>
      <c r="B47" s="5"/>
      <c r="C47" s="13">
        <v>15307</v>
      </c>
      <c r="D47" s="17">
        <v>15090</v>
      </c>
      <c r="E47" s="10">
        <f t="shared" si="1"/>
        <v>1.4380384360503706E-2</v>
      </c>
      <c r="F47" s="44">
        <v>0.28951004178460704</v>
      </c>
      <c r="G47" s="29"/>
      <c r="H47" s="98"/>
      <c r="I47" s="99"/>
      <c r="J47" s="100"/>
      <c r="K47" s="96"/>
    </row>
    <row r="48" spans="1:11" x14ac:dyDescent="0.2">
      <c r="A48" s="24" t="str">
        <f>VLOOKUP("&lt;Zeilentitel_28&gt;",Uebersetzungen!$B$4:$E$88,Uebersetzungen!$B$2+1,FALSE)</f>
        <v>Frankreich</v>
      </c>
      <c r="B48" s="5"/>
      <c r="C48" s="13">
        <v>8141</v>
      </c>
      <c r="D48" s="17">
        <v>7529</v>
      </c>
      <c r="E48" s="10">
        <f t="shared" si="1"/>
        <v>8.1285695311462236E-2</v>
      </c>
      <c r="F48" s="44">
        <v>0.43991651632530338</v>
      </c>
      <c r="G48" s="29"/>
      <c r="H48" s="98"/>
      <c r="I48" s="99"/>
      <c r="J48" s="100"/>
      <c r="K48" s="96"/>
    </row>
    <row r="49" spans="1:11" x14ac:dyDescent="0.2">
      <c r="A49" s="24" t="str">
        <f>VLOOKUP("&lt;Zeilentitel_29&gt;",Uebersetzungen!$B$4:$E$88,Uebersetzungen!$B$2+1,FALSE)</f>
        <v>Australien</v>
      </c>
      <c r="B49" s="5"/>
      <c r="C49" s="13">
        <v>5577</v>
      </c>
      <c r="D49" s="17">
        <v>6310</v>
      </c>
      <c r="E49" s="10">
        <f t="shared" si="1"/>
        <v>-0.11616481774960385</v>
      </c>
      <c r="F49" s="44">
        <v>0.66577060931899634</v>
      </c>
      <c r="G49" s="29"/>
      <c r="H49" s="98"/>
      <c r="I49" s="99"/>
      <c r="J49" s="100"/>
      <c r="K49" s="96"/>
    </row>
    <row r="50" spans="1:11" x14ac:dyDescent="0.2">
      <c r="A50" s="24" t="str">
        <f>VLOOKUP("&lt;Zeilentitel_30&gt;",Uebersetzungen!$B$4:$E$88,Uebersetzungen!$B$2+1,FALSE)</f>
        <v>Taiwan</v>
      </c>
      <c r="B50" s="5"/>
      <c r="C50" s="13">
        <v>304</v>
      </c>
      <c r="D50" s="17">
        <v>195</v>
      </c>
      <c r="E50" s="10">
        <f t="shared" si="1"/>
        <v>0.55897435897435899</v>
      </c>
      <c r="F50" s="44">
        <v>1.2093023255813953</v>
      </c>
      <c r="G50" s="29"/>
      <c r="H50" s="98"/>
      <c r="I50" s="99"/>
      <c r="J50" s="100"/>
      <c r="K50" s="96"/>
    </row>
    <row r="51" spans="1:11" x14ac:dyDescent="0.2">
      <c r="A51" s="24" t="str">
        <f>VLOOKUP("&lt;Zeilentitel_31&gt;",Uebersetzungen!$B$4:$E$88,Uebersetzungen!$B$2+1,FALSE)</f>
        <v>Israel</v>
      </c>
      <c r="B51" s="5"/>
      <c r="C51" s="13">
        <v>2523</v>
      </c>
      <c r="D51" s="17">
        <v>1514</v>
      </c>
      <c r="E51" s="10">
        <f t="shared" si="1"/>
        <v>0.66644649933949807</v>
      </c>
      <c r="F51" s="44">
        <v>0.76088777219430481</v>
      </c>
      <c r="G51" s="29"/>
      <c r="H51" s="98"/>
      <c r="I51" s="99"/>
      <c r="J51" s="100"/>
      <c r="K51" s="96"/>
    </row>
    <row r="52" spans="1:11" x14ac:dyDescent="0.2">
      <c r="A52" s="24" t="str">
        <f>VLOOKUP("&lt;Zeilentitel_32&gt;",Uebersetzungen!$B$4:$E$88,Uebersetzungen!$B$2+1,FALSE)</f>
        <v>Kanada</v>
      </c>
      <c r="B52" s="5"/>
      <c r="C52" s="13">
        <v>2167</v>
      </c>
      <c r="D52" s="17">
        <v>2342</v>
      </c>
      <c r="E52" s="10">
        <f t="shared" si="1"/>
        <v>-7.4722459436379118E-2</v>
      </c>
      <c r="F52" s="44">
        <v>0.31620505344995142</v>
      </c>
      <c r="G52" s="29"/>
      <c r="H52" s="98"/>
      <c r="I52" s="99"/>
      <c r="J52" s="100"/>
      <c r="K52" s="96"/>
    </row>
    <row r="53" spans="1:11" x14ac:dyDescent="0.2">
      <c r="A53" s="24" t="str">
        <f>VLOOKUP("&lt;Zeilentitel_33&gt;",Uebersetzungen!$B$4:$E$88,Uebersetzungen!$B$2+1,FALSE)</f>
        <v>Japan</v>
      </c>
      <c r="B53" s="5"/>
      <c r="C53" s="13">
        <v>1102</v>
      </c>
      <c r="D53" s="17">
        <v>963</v>
      </c>
      <c r="E53" s="10">
        <f t="shared" si="1"/>
        <v>0.1443406022845275</v>
      </c>
      <c r="F53" s="44">
        <v>0.39847715736040601</v>
      </c>
      <c r="G53" s="29"/>
      <c r="H53" s="98"/>
      <c r="I53" s="99"/>
      <c r="J53" s="100"/>
      <c r="K53" s="96"/>
    </row>
    <row r="54" spans="1:11" x14ac:dyDescent="0.2">
      <c r="A54" s="24" t="str">
        <f>VLOOKUP("&lt;Zeilentitel_34&gt;",Uebersetzungen!$B$4:$E$88,Uebersetzungen!$B$2+1,FALSE)</f>
        <v>China</v>
      </c>
      <c r="B54" s="5"/>
      <c r="C54" s="13">
        <v>1835</v>
      </c>
      <c r="D54" s="17">
        <v>1409</v>
      </c>
      <c r="E54" s="10">
        <f t="shared" si="1"/>
        <v>0.30234208658623141</v>
      </c>
      <c r="F54" s="44">
        <v>0.43024162120031173</v>
      </c>
      <c r="G54" s="29"/>
      <c r="H54" s="98"/>
      <c r="I54" s="99"/>
      <c r="J54" s="100"/>
      <c r="K54" s="96"/>
    </row>
    <row r="55" spans="1:11" x14ac:dyDescent="0.2">
      <c r="A55" s="24" t="str">
        <f>VLOOKUP("&lt;Zeilentitel_35&gt;",Uebersetzungen!$B$4:$E$88,Uebersetzungen!$B$2+1,FALSE)</f>
        <v>Polen</v>
      </c>
      <c r="B55" s="5"/>
      <c r="C55" s="13">
        <v>4477</v>
      </c>
      <c r="D55" s="17">
        <v>6517</v>
      </c>
      <c r="E55" s="10">
        <f t="shared" si="1"/>
        <v>-0.3130274666257481</v>
      </c>
      <c r="F55" s="44">
        <v>-0.55726745910879938</v>
      </c>
      <c r="G55" s="29"/>
      <c r="H55" s="98"/>
      <c r="I55" s="99"/>
      <c r="J55" s="100"/>
      <c r="K55" s="96"/>
    </row>
    <row r="56" spans="1:11" x14ac:dyDescent="0.2">
      <c r="A56" s="24" t="str">
        <f>VLOOKUP("&lt;Zeilentitel_36&gt;",Uebersetzungen!$B$4:$E$88,Uebersetzungen!$B$2+1,FALSE)</f>
        <v>Brasilien</v>
      </c>
      <c r="B56" s="5"/>
      <c r="C56" s="13">
        <v>12428</v>
      </c>
      <c r="D56" s="17">
        <v>10897</v>
      </c>
      <c r="E56" s="10">
        <f t="shared" si="1"/>
        <v>0.14049738460126648</v>
      </c>
      <c r="F56" s="44">
        <v>0.89157103284527106</v>
      </c>
      <c r="G56" s="29"/>
      <c r="H56" s="98"/>
      <c r="I56" s="99"/>
      <c r="J56" s="100"/>
      <c r="K56" s="96"/>
    </row>
    <row r="57" spans="1:11" x14ac:dyDescent="0.2">
      <c r="A57" s="24" t="str">
        <f>VLOOKUP("&lt;Zeilentitel_37&gt;",Uebersetzungen!$B$4:$E$88,Uebersetzungen!$B$2+1,FALSE)</f>
        <v>Indien</v>
      </c>
      <c r="B57" s="5"/>
      <c r="C57" s="13">
        <v>1912</v>
      </c>
      <c r="D57" s="17">
        <v>1265</v>
      </c>
      <c r="E57" s="10">
        <f t="shared" si="1"/>
        <v>0.51146245059288531</v>
      </c>
      <c r="F57" s="44">
        <v>1.7622074544929212</v>
      </c>
      <c r="G57" s="29"/>
      <c r="H57" s="98"/>
      <c r="I57" s="99"/>
      <c r="J57" s="100"/>
      <c r="K57" s="96"/>
    </row>
    <row r="58" spans="1:11" x14ac:dyDescent="0.2">
      <c r="A58" s="24" t="str">
        <f>VLOOKUP("&lt;Zeilentitel_38&gt;",Uebersetzungen!$B$4:$E$88,Uebersetzungen!$B$2+1,FALSE)</f>
        <v>Tschechien</v>
      </c>
      <c r="B58" s="5"/>
      <c r="C58" s="13">
        <v>2404</v>
      </c>
      <c r="D58" s="17">
        <v>2341</v>
      </c>
      <c r="E58" s="10">
        <f t="shared" si="1"/>
        <v>2.6911576249466052E-2</v>
      </c>
      <c r="F58" s="44">
        <v>-2.1411707237645516E-2</v>
      </c>
      <c r="G58" s="29"/>
      <c r="H58" s="98"/>
      <c r="I58" s="99"/>
      <c r="J58" s="100"/>
      <c r="K58" s="96"/>
    </row>
    <row r="59" spans="1:11" x14ac:dyDescent="0.2">
      <c r="A59" s="24" t="str">
        <f>VLOOKUP("&lt;Zeilentitel_39&gt;",Uebersetzungen!$B$4:$E$88,Uebersetzungen!$B$2+1,FALSE)</f>
        <v>Schweden</v>
      </c>
      <c r="B59" s="5"/>
      <c r="C59" s="13">
        <v>2093</v>
      </c>
      <c r="D59" s="17">
        <v>2110</v>
      </c>
      <c r="E59" s="10">
        <f t="shared" si="1"/>
        <v>-8.0568720379147196E-3</v>
      </c>
      <c r="F59" s="44">
        <v>0.26099530063863119</v>
      </c>
      <c r="G59" s="29"/>
      <c r="H59" s="98"/>
      <c r="I59" s="99"/>
      <c r="J59" s="100"/>
      <c r="K59" s="96"/>
    </row>
    <row r="60" spans="1:11" x14ac:dyDescent="0.2">
      <c r="A60" s="24" t="str">
        <f>VLOOKUP("&lt;Zeilentitel_40&gt;",Uebersetzungen!$B$4:$E$88,Uebersetzungen!$B$2+1,FALSE)</f>
        <v>Dänemark</v>
      </c>
      <c r="B60" s="5"/>
      <c r="C60" s="13">
        <v>1186</v>
      </c>
      <c r="D60" s="17">
        <v>1085</v>
      </c>
      <c r="E60" s="10">
        <f t="shared" si="1"/>
        <v>9.3087557603686699E-2</v>
      </c>
      <c r="F60" s="44">
        <v>0.22419488026424439</v>
      </c>
      <c r="G60" s="29"/>
      <c r="H60" s="98"/>
      <c r="I60" s="99"/>
      <c r="J60" s="100"/>
      <c r="K60" s="96"/>
    </row>
    <row r="61" spans="1:11" x14ac:dyDescent="0.2">
      <c r="A61" s="24" t="str">
        <f>VLOOKUP("&lt;Zeilentitel_41&gt;",Uebersetzungen!$B$4:$E$88,Uebersetzungen!$B$2+1,FALSE)</f>
        <v>Spanien</v>
      </c>
      <c r="B61" s="5"/>
      <c r="C61" s="13">
        <v>2963</v>
      </c>
      <c r="D61" s="17">
        <v>2737</v>
      </c>
      <c r="E61" s="10">
        <f t="shared" si="1"/>
        <v>8.2572159298502035E-2</v>
      </c>
      <c r="F61" s="44">
        <v>0.68601342892909978</v>
      </c>
      <c r="G61" s="29"/>
      <c r="H61" s="98"/>
      <c r="I61" s="99"/>
      <c r="J61" s="100"/>
      <c r="K61" s="96"/>
    </row>
    <row r="62" spans="1:11" x14ac:dyDescent="0.2">
      <c r="A62" s="24" t="str">
        <f>VLOOKUP("&lt;Zeilentitel_42&gt;",Uebersetzungen!$B$4:$E$88,Uebersetzungen!$B$2+1,FALSE)</f>
        <v>Luxemburg</v>
      </c>
      <c r="B62" s="5"/>
      <c r="C62" s="13">
        <v>2464</v>
      </c>
      <c r="D62" s="17">
        <v>3001</v>
      </c>
      <c r="E62" s="10">
        <f t="shared" si="1"/>
        <v>-0.17894035321559476</v>
      </c>
      <c r="F62" s="44">
        <v>0.14169215086646281</v>
      </c>
      <c r="G62" s="29"/>
      <c r="H62" s="98"/>
      <c r="I62" s="99"/>
      <c r="J62" s="100"/>
      <c r="K62" s="96"/>
    </row>
    <row r="63" spans="1:11" x14ac:dyDescent="0.2">
      <c r="A63" s="24" t="str">
        <f>VLOOKUP("&lt;Zeilentitel_43&gt;",Uebersetzungen!$B$4:$E$88,Uebersetzungen!$B$2+1,FALSE)</f>
        <v>Vereinigte Arabische Emirate</v>
      </c>
      <c r="B63" s="5"/>
      <c r="C63" s="13">
        <v>2392</v>
      </c>
      <c r="D63" s="17">
        <v>1596</v>
      </c>
      <c r="E63" s="10">
        <f t="shared" si="1"/>
        <v>0.49874686716791983</v>
      </c>
      <c r="F63" s="44">
        <v>1.6792114695340503</v>
      </c>
      <c r="G63" s="29"/>
      <c r="H63" s="98"/>
      <c r="I63" s="99"/>
      <c r="J63" s="100"/>
      <c r="K63" s="96"/>
    </row>
    <row r="64" spans="1:11" x14ac:dyDescent="0.2">
      <c r="A64" s="24"/>
      <c r="B64" s="5"/>
      <c r="C64" s="13"/>
      <c r="D64" s="17"/>
      <c r="E64" s="10"/>
      <c r="F64" s="44"/>
      <c r="G64" s="29"/>
      <c r="H64" s="98"/>
      <c r="I64" s="99"/>
      <c r="J64" s="100"/>
      <c r="K64" s="96"/>
    </row>
    <row r="65" spans="1:11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44"/>
      <c r="G65" s="29"/>
      <c r="H65" s="98"/>
      <c r="I65" s="99"/>
      <c r="J65" s="100"/>
      <c r="K65" s="96"/>
    </row>
    <row r="66" spans="1:11" x14ac:dyDescent="0.2">
      <c r="A66" s="24" t="str">
        <f>VLOOKUP("&lt;Zeilentitel_44.1&gt;",Uebersetzungen!$B$4:$E$88,Uebersetzungen!$B$2+1,FALSE)</f>
        <v>übrige Golfstaaten</v>
      </c>
      <c r="B66" s="5"/>
      <c r="C66" s="13">
        <v>4031</v>
      </c>
      <c r="D66" s="17">
        <v>3094</v>
      </c>
      <c r="E66" s="10">
        <f t="shared" si="1"/>
        <v>0.30284421460892053</v>
      </c>
      <c r="F66" s="44">
        <v>1.7421768707482994</v>
      </c>
      <c r="G66" s="29"/>
      <c r="H66" s="98"/>
      <c r="I66" s="99"/>
      <c r="J66" s="100"/>
      <c r="K66" s="96"/>
    </row>
    <row r="67" spans="1:11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7284</v>
      </c>
      <c r="D67" s="17">
        <v>6471</v>
      </c>
      <c r="E67" s="10">
        <f t="shared" si="1"/>
        <v>0.12563745943439963</v>
      </c>
      <c r="F67" s="44">
        <v>0.54629983441599794</v>
      </c>
      <c r="G67" s="29"/>
      <c r="H67" s="98"/>
      <c r="I67" s="99"/>
      <c r="J67" s="100"/>
      <c r="K67" s="96"/>
    </row>
    <row r="68" spans="1:11" x14ac:dyDescent="0.2">
      <c r="A68" s="24" t="str">
        <f>VLOOKUP("&lt;Zeilentitel_44.3&gt;",Uebersetzungen!$B$4:$E$88,Uebersetzungen!$B$2+1,FALSE)</f>
        <v>übriges Südostasien</v>
      </c>
      <c r="B68" s="5"/>
      <c r="C68" s="13">
        <v>6398</v>
      </c>
      <c r="D68" s="17">
        <v>5630</v>
      </c>
      <c r="E68" s="10">
        <f t="shared" si="1"/>
        <v>0.13641207815275314</v>
      </c>
      <c r="F68" s="44">
        <v>0.54317414375301487</v>
      </c>
      <c r="G68" s="29"/>
      <c r="H68" s="98"/>
      <c r="I68" s="99"/>
      <c r="J68" s="100"/>
      <c r="K68" s="96"/>
    </row>
    <row r="69" spans="1:11" x14ac:dyDescent="0.2">
      <c r="A69" s="24" t="str">
        <f>VLOOKUP("&lt;Zeilentitel_44.4&gt;",Uebersetzungen!$B$4:$E$88,Uebersetzungen!$B$2+1,FALSE)</f>
        <v>übriges Osteuropa</v>
      </c>
      <c r="B69" s="5"/>
      <c r="C69" s="13">
        <v>11259</v>
      </c>
      <c r="D69" s="17">
        <v>10209</v>
      </c>
      <c r="E69" s="10">
        <f t="shared" si="1"/>
        <v>0.10285042609462236</v>
      </c>
      <c r="F69" s="44">
        <v>-7.6586182009054427E-2</v>
      </c>
      <c r="G69" s="29"/>
      <c r="H69" s="98"/>
      <c r="I69" s="99"/>
      <c r="J69" s="100"/>
      <c r="K69" s="96"/>
    </row>
    <row r="70" spans="1:11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4639</v>
      </c>
      <c r="D70" s="17">
        <v>3481</v>
      </c>
      <c r="E70" s="10">
        <f t="shared" si="1"/>
        <v>0.33266302786555579</v>
      </c>
      <c r="F70" s="44">
        <v>1.0358992363732118</v>
      </c>
      <c r="G70" s="29"/>
      <c r="H70" s="98"/>
      <c r="I70" s="99"/>
      <c r="J70" s="100"/>
      <c r="K70" s="96"/>
    </row>
    <row r="71" spans="1:11" x14ac:dyDescent="0.2">
      <c r="A71" s="24" t="str">
        <f>VLOOKUP("&lt;Zeilentitel_44.6&gt;",Uebersetzungen!$B$4:$E$88,Uebersetzungen!$B$2+1,FALSE)</f>
        <v>Afrikanischer Kontinent</v>
      </c>
      <c r="B71" s="5"/>
      <c r="C71" s="13">
        <v>1977</v>
      </c>
      <c r="D71" s="17">
        <v>2482</v>
      </c>
      <c r="E71" s="10">
        <f t="shared" si="1"/>
        <v>-0.20346494762288481</v>
      </c>
      <c r="F71" s="44">
        <v>0.47603404509481839</v>
      </c>
      <c r="G71" s="29"/>
      <c r="H71" s="98"/>
      <c r="I71" s="99"/>
      <c r="J71" s="100"/>
      <c r="K71" s="96"/>
    </row>
    <row r="72" spans="1:11" x14ac:dyDescent="0.2">
      <c r="A72" s="24" t="str">
        <f>VLOOKUP("&lt;Zeilentitel_44.7&gt;",Uebersetzungen!$B$4:$E$88,Uebersetzungen!$B$2+1,FALSE)</f>
        <v>Südosteuropa</v>
      </c>
      <c r="B72" s="5"/>
      <c r="C72" s="13">
        <v>8963</v>
      </c>
      <c r="D72" s="17">
        <v>6216</v>
      </c>
      <c r="E72" s="10">
        <f>C72/D72-1</f>
        <v>0.44192406692406694</v>
      </c>
      <c r="F72" s="44">
        <v>1.0081104091051665</v>
      </c>
      <c r="G72" s="29"/>
      <c r="H72" s="98"/>
      <c r="I72" s="99"/>
      <c r="J72" s="100"/>
      <c r="K72" s="96"/>
    </row>
    <row r="73" spans="1:11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42</v>
      </c>
      <c r="F73" s="46" t="s">
        <v>42</v>
      </c>
      <c r="G73" s="29"/>
      <c r="H73" s="98"/>
      <c r="I73" s="99"/>
      <c r="J73" s="100"/>
      <c r="K73" s="96"/>
    </row>
    <row r="74" spans="1:11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724599</v>
      </c>
      <c r="D74" s="40">
        <v>720367</v>
      </c>
      <c r="E74" s="65">
        <f>C74/D74-1</f>
        <v>5.8747832701941949E-3</v>
      </c>
      <c r="F74" s="66">
        <v>0.18057705304359883</v>
      </c>
      <c r="G74" s="29"/>
      <c r="H74" s="36"/>
      <c r="I74" s="37"/>
      <c r="J74" s="37"/>
      <c r="K74" s="96"/>
    </row>
    <row r="75" spans="1:11" x14ac:dyDescent="0.2">
      <c r="G75" s="96"/>
      <c r="H75" s="96"/>
      <c r="I75" s="96"/>
      <c r="J75" s="96"/>
      <c r="K75" s="96"/>
    </row>
    <row r="76" spans="1:11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1" ht="10.5" customHeight="1" x14ac:dyDescent="0.2"/>
    <row r="79" spans="1:11" ht="18" x14ac:dyDescent="0.25">
      <c r="A79" s="2" t="str">
        <f>VLOOKUP("&lt;Titel3&gt;",Uebersetzungen!$B$4:$E$31,Uebersetzungen!$B$2+1,FALSE)</f>
        <v>Hotel- und Kurbetriebe: Logiernächte im Januar 2025, nach Schweizer Tourismusregionen</v>
      </c>
      <c r="B79" s="3"/>
      <c r="C79" s="3"/>
      <c r="D79" s="3"/>
      <c r="E79" s="3"/>
      <c r="F79" s="3"/>
    </row>
    <row r="80" spans="1:11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1" ht="18.75" customHeight="1" thickBot="1" x14ac:dyDescent="0.3">
      <c r="A81" s="50"/>
      <c r="G81" s="96"/>
      <c r="H81" s="96"/>
      <c r="I81" s="96"/>
      <c r="J81" s="96"/>
      <c r="K81" s="96"/>
    </row>
    <row r="82" spans="1:11" ht="51" customHeight="1" x14ac:dyDescent="0.2">
      <c r="A82" s="8"/>
      <c r="B82" s="9"/>
      <c r="C82" s="20" t="str">
        <f>VLOOKUP("&lt;SpaltenTitel_1&gt;",Uebersetzungen!$B$4:$E$34,Uebersetzungen!$B$2+1,FALSE)</f>
        <v>Januar 2025</v>
      </c>
      <c r="D82" s="21" t="str">
        <f>VLOOKUP("&lt;SpaltenTitel_2&gt;",Uebersetzungen!$B$4:$E$34,Uebersetzungen!$B$2+1,FALSE)</f>
        <v>Januar 2024</v>
      </c>
      <c r="E82" s="22" t="str">
        <f>VLOOKUP("&lt;SpaltenTitel_3&gt;",Uebersetzungen!$B$4:$E$34,Uebersetzungen!$B$2+1,FALSE)</f>
        <v>Veränderung 25/24 in %</v>
      </c>
      <c r="F82" s="23" t="str">
        <f>VLOOKUP("&lt;SpaltenTitel_4&gt;",Uebersetzungen!$B$4:$E$34,Uebersetzungen!$B$2+1,FALSE)</f>
        <v>Veränderung zum
5-Jahresmittel 
in %</v>
      </c>
      <c r="G82" s="97"/>
      <c r="H82" s="97"/>
      <c r="I82" s="97"/>
      <c r="J82" s="97"/>
      <c r="K82" s="96"/>
    </row>
    <row r="83" spans="1:11" x14ac:dyDescent="0.2">
      <c r="A83" s="24" t="str">
        <f>VLOOKUP("&lt;Zeilentitel_49&gt;",Uebersetzungen!$B$4:$E$88,Uebersetzungen!$B$2+1,FALSE)</f>
        <v>Aargau und Solothurn Region</v>
      </c>
      <c r="B83" s="5"/>
      <c r="C83" s="13">
        <v>72250</v>
      </c>
      <c r="D83" s="17">
        <v>71052</v>
      </c>
      <c r="E83" s="10">
        <f>C83/D83-1</f>
        <v>1.6860890615324031E-2</v>
      </c>
      <c r="F83" s="44">
        <v>0.27943134810449366</v>
      </c>
      <c r="G83" s="29"/>
      <c r="H83" s="98"/>
      <c r="I83" s="99"/>
      <c r="J83" s="100"/>
      <c r="K83" s="96"/>
    </row>
    <row r="84" spans="1:11" x14ac:dyDescent="0.2">
      <c r="A84" s="24" t="str">
        <f>VLOOKUP("&lt;Zeilentitel_50&gt;",Uebersetzungen!$B$4:$E$88,Uebersetzungen!$B$2+1,FALSE)</f>
        <v>Basel Region</v>
      </c>
      <c r="B84" s="5"/>
      <c r="C84" s="13">
        <v>104379</v>
      </c>
      <c r="D84" s="17">
        <v>100686</v>
      </c>
      <c r="E84" s="10">
        <f t="shared" ref="E84:E96" si="2">C84/D84-1</f>
        <v>3.6678386270186492E-2</v>
      </c>
      <c r="F84" s="44">
        <v>0.3864072872751616</v>
      </c>
      <c r="G84" s="29"/>
      <c r="H84" s="98"/>
      <c r="I84" s="99"/>
      <c r="J84" s="100"/>
      <c r="K84" s="96"/>
    </row>
    <row r="85" spans="1:11" x14ac:dyDescent="0.2">
      <c r="A85" s="24" t="str">
        <f>VLOOKUP("&lt;Zeilentitel_51&gt;",Uebersetzungen!$B$4:$E$88,Uebersetzungen!$B$2+1,FALSE)</f>
        <v>Bern Region</v>
      </c>
      <c r="B85" s="5"/>
      <c r="C85" s="13">
        <v>399196</v>
      </c>
      <c r="D85" s="17">
        <v>400115</v>
      </c>
      <c r="E85" s="10">
        <f t="shared" si="2"/>
        <v>-2.296839658598171E-3</v>
      </c>
      <c r="F85" s="44">
        <v>0.20896679547904884</v>
      </c>
      <c r="G85" s="29"/>
      <c r="H85" s="98"/>
      <c r="I85" s="99"/>
      <c r="J85" s="100"/>
      <c r="K85" s="96"/>
    </row>
    <row r="86" spans="1:11" x14ac:dyDescent="0.2">
      <c r="A86" s="24" t="str">
        <f>VLOOKUP("&lt;Zeilentitel_52&gt;",Uebersetzungen!$B$4:$E$88,Uebersetzungen!$B$2+1,FALSE)</f>
        <v>Fribourg Region</v>
      </c>
      <c r="B86" s="5"/>
      <c r="C86" s="13">
        <v>27410</v>
      </c>
      <c r="D86" s="17">
        <v>30059</v>
      </c>
      <c r="E86" s="10">
        <f t="shared" si="2"/>
        <v>-8.8126684187764037E-2</v>
      </c>
      <c r="F86" s="44">
        <v>0.19807329183859013</v>
      </c>
      <c r="G86" s="29"/>
      <c r="H86" s="98"/>
      <c r="I86" s="99"/>
      <c r="J86" s="100"/>
      <c r="K86" s="96"/>
    </row>
    <row r="87" spans="1:11" x14ac:dyDescent="0.2">
      <c r="A87" s="24" t="str">
        <f>VLOOKUP("&lt;Zeilentitel_53&gt;",Uebersetzungen!$B$4:$E$88,Uebersetzungen!$B$2+1,FALSE)</f>
        <v>Genf</v>
      </c>
      <c r="B87" s="5"/>
      <c r="C87" s="13">
        <v>267556</v>
      </c>
      <c r="D87" s="17">
        <v>245054</v>
      </c>
      <c r="E87" s="10">
        <f t="shared" si="2"/>
        <v>9.1824659054738911E-2</v>
      </c>
      <c r="F87" s="44">
        <v>0.56156107081408302</v>
      </c>
      <c r="G87" s="29"/>
      <c r="H87" s="98"/>
      <c r="I87" s="99"/>
      <c r="J87" s="100"/>
      <c r="K87" s="96"/>
    </row>
    <row r="88" spans="1:11" x14ac:dyDescent="0.2">
      <c r="A88" s="106" t="str">
        <f>VLOOKUP("&lt;Zeilentitel_54&gt;",Uebersetzungen!$B$4:$E$88,Uebersetzungen!$B$2+1,FALSE)</f>
        <v>Graubünden</v>
      </c>
      <c r="B88" s="60"/>
      <c r="C88" s="61">
        <v>724599</v>
      </c>
      <c r="D88" s="62">
        <v>720367</v>
      </c>
      <c r="E88" s="63">
        <f t="shared" si="2"/>
        <v>5.8747832701941949E-3</v>
      </c>
      <c r="F88" s="64">
        <v>0.18057705304359883</v>
      </c>
      <c r="G88" s="29"/>
      <c r="H88" s="98"/>
      <c r="I88" s="99"/>
      <c r="J88" s="100"/>
      <c r="K88" s="96"/>
    </row>
    <row r="89" spans="1:11" x14ac:dyDescent="0.2">
      <c r="A89" s="24" t="str">
        <f>VLOOKUP("&lt;Zeilentitel_55&gt;",Uebersetzungen!$B$4:$E$88,Uebersetzungen!$B$2+1,FALSE)</f>
        <v>Jura &amp; Drei-Seen-Land</v>
      </c>
      <c r="B89" s="5"/>
      <c r="C89" s="13">
        <v>29070</v>
      </c>
      <c r="D89" s="17">
        <v>27919</v>
      </c>
      <c r="E89" s="10">
        <f t="shared" si="2"/>
        <v>4.1226404957197538E-2</v>
      </c>
      <c r="F89" s="44">
        <v>0.20135881244420939</v>
      </c>
      <c r="G89" s="29"/>
      <c r="H89" s="98"/>
      <c r="I89" s="99"/>
      <c r="J89" s="100"/>
      <c r="K89" s="96"/>
    </row>
    <row r="90" spans="1:11" x14ac:dyDescent="0.2">
      <c r="A90" s="24" t="str">
        <f>VLOOKUP("&lt;Zeilentitel_56&gt;",Uebersetzungen!$B$4:$E$88,Uebersetzungen!$B$2+1,FALSE)</f>
        <v>Luzern / Vierwaldstättersee</v>
      </c>
      <c r="B90" s="5"/>
      <c r="C90" s="13">
        <v>241749</v>
      </c>
      <c r="D90" s="17">
        <v>226191</v>
      </c>
      <c r="E90" s="10">
        <f t="shared" si="2"/>
        <v>6.8782577556136149E-2</v>
      </c>
      <c r="F90" s="44">
        <v>0.26816619524437035</v>
      </c>
      <c r="G90" s="29"/>
      <c r="H90" s="98"/>
      <c r="I90" s="99"/>
      <c r="J90" s="100"/>
      <c r="K90" s="96"/>
    </row>
    <row r="91" spans="1:11" x14ac:dyDescent="0.2">
      <c r="A91" s="24" t="str">
        <f>VLOOKUP("&lt;Zeilentitel_57&gt;",Uebersetzungen!$B$4:$E$88,Uebersetzungen!$B$2+1,FALSE)</f>
        <v>Ostschweiz</v>
      </c>
      <c r="B91" s="5"/>
      <c r="C91" s="13">
        <v>122193</v>
      </c>
      <c r="D91" s="17">
        <v>123413</v>
      </c>
      <c r="E91" s="10">
        <f t="shared" si="2"/>
        <v>-9.8855063891162276E-3</v>
      </c>
      <c r="F91" s="44">
        <v>0.18201569404353779</v>
      </c>
      <c r="G91" s="29"/>
      <c r="H91" s="98"/>
      <c r="I91" s="99"/>
      <c r="J91" s="100"/>
      <c r="K91" s="96"/>
    </row>
    <row r="92" spans="1:11" x14ac:dyDescent="0.2">
      <c r="A92" s="24" t="str">
        <f>VLOOKUP("&lt;Zeilentitel_58&gt;",Uebersetzungen!$B$4:$E$88,Uebersetzungen!$B$2+1,FALSE)</f>
        <v>Tessin</v>
      </c>
      <c r="B92" s="5"/>
      <c r="C92" s="13">
        <v>60792</v>
      </c>
      <c r="D92" s="17">
        <v>60763</v>
      </c>
      <c r="E92" s="10">
        <f t="shared" si="2"/>
        <v>4.7726412454940359E-4</v>
      </c>
      <c r="F92" s="44">
        <v>9.6877097512215071E-2</v>
      </c>
      <c r="G92" s="29"/>
      <c r="H92" s="98"/>
      <c r="I92" s="99"/>
      <c r="J92" s="100"/>
      <c r="K92" s="96"/>
    </row>
    <row r="93" spans="1:11" x14ac:dyDescent="0.2">
      <c r="A93" s="24" t="str">
        <f>VLOOKUP("&lt;Zeilentitel_59&gt;",Uebersetzungen!$B$4:$E$88,Uebersetzungen!$B$2+1,FALSE)</f>
        <v>Waadt</v>
      </c>
      <c r="B93" s="5"/>
      <c r="C93" s="13">
        <v>179719</v>
      </c>
      <c r="D93" s="17">
        <v>169158</v>
      </c>
      <c r="E93" s="10">
        <f t="shared" si="2"/>
        <v>6.2432755175634513E-2</v>
      </c>
      <c r="F93" s="44">
        <v>0.19594526250785238</v>
      </c>
      <c r="G93" s="29"/>
      <c r="H93" s="98"/>
      <c r="I93" s="99"/>
      <c r="J93" s="100"/>
      <c r="K93" s="96"/>
    </row>
    <row r="94" spans="1:11" x14ac:dyDescent="0.2">
      <c r="A94" s="24" t="str">
        <f>VLOOKUP("&lt;Zeilentitel_60&gt;",Uebersetzungen!$B$4:$E$88,Uebersetzungen!$B$2+1,FALSE)</f>
        <v>Wallis</v>
      </c>
      <c r="B94" s="5"/>
      <c r="C94" s="32">
        <v>476125</v>
      </c>
      <c r="D94" s="17">
        <v>471006</v>
      </c>
      <c r="E94" s="33">
        <f t="shared" si="2"/>
        <v>1.0868226731718833E-2</v>
      </c>
      <c r="F94" s="44">
        <v>0.17440923731292712</v>
      </c>
      <c r="G94" s="29"/>
      <c r="H94" s="98"/>
      <c r="I94" s="99"/>
      <c r="J94" s="100"/>
      <c r="K94" s="96"/>
    </row>
    <row r="95" spans="1:11" x14ac:dyDescent="0.2">
      <c r="A95" s="24" t="str">
        <f>VLOOKUP("&lt;Zeilentitel_61&gt;",Uebersetzungen!$B$4:$E$88,Uebersetzungen!$B$2+1,FALSE)</f>
        <v>Zürich Region</v>
      </c>
      <c r="B95" s="7"/>
      <c r="C95" s="42">
        <v>483261</v>
      </c>
      <c r="D95" s="18">
        <v>434187</v>
      </c>
      <c r="E95" s="43">
        <f t="shared" si="2"/>
        <v>0.11302503299269673</v>
      </c>
      <c r="F95" s="48">
        <v>0.50865180016383271</v>
      </c>
      <c r="G95" s="29"/>
      <c r="H95" s="98"/>
      <c r="I95" s="99"/>
      <c r="J95" s="99"/>
      <c r="K95" s="96"/>
    </row>
    <row r="96" spans="1:11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3188299</v>
      </c>
      <c r="D96" s="40">
        <v>3079970</v>
      </c>
      <c r="E96" s="41">
        <f t="shared" si="2"/>
        <v>3.5172095832102235E-2</v>
      </c>
      <c r="F96" s="45">
        <v>0.26540871646723407</v>
      </c>
      <c r="G96" s="29"/>
      <c r="H96" s="36"/>
      <c r="I96" s="37"/>
      <c r="J96" s="38"/>
      <c r="K96" s="96"/>
    </row>
    <row r="97" spans="1:11" x14ac:dyDescent="0.2">
      <c r="A97" s="34"/>
      <c r="B97" s="35"/>
      <c r="C97" s="29"/>
      <c r="D97" s="36"/>
      <c r="E97" s="37"/>
      <c r="F97" s="38"/>
      <c r="G97" s="96"/>
      <c r="H97" s="96"/>
      <c r="I97" s="96"/>
      <c r="J97" s="96"/>
      <c r="K97" s="96"/>
    </row>
    <row r="98" spans="1:11" x14ac:dyDescent="0.2">
      <c r="A98" s="4" t="str">
        <f>VLOOKUP("&lt;Quelle_1&gt;",Uebersetzungen!$B$4:$E$97,Uebersetzungen!$B$2+1,FALSE)</f>
        <v>Quelle: BFS (HESTA)</v>
      </c>
    </row>
    <row r="99" spans="1:11" ht="12.75" customHeight="1" x14ac:dyDescent="0.2">
      <c r="A99" s="4" t="str">
        <f>VLOOKUP("&lt;Aktualisierung&gt;",Uebersetzungen!$B$4:$E$97,Uebersetzungen!$B$2+1,FALSE)</f>
        <v>Letztmals aktualisiert am: 10.03.2025</v>
      </c>
    </row>
    <row r="100" spans="1:11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11" x14ac:dyDescent="0.2">
      <c r="A101" s="31" t="str">
        <f>VLOOKUP("&lt;Legende_3&gt;",Uebersetzungen!$B$4:$E$97,Uebersetzungen!$B$2+1,FALSE)</f>
        <v>Daten des Februar 2025 erscheinen am 4. April 2025.</v>
      </c>
    </row>
    <row r="103" spans="1:11" x14ac:dyDescent="0.2">
      <c r="A103" s="4" t="s">
        <v>47</v>
      </c>
    </row>
  </sheetData>
  <sheetProtection sheet="1" objects="1" scenarios="1"/>
  <mergeCells count="1">
    <mergeCell ref="A7:D7"/>
  </mergeCells>
  <hyperlinks>
    <hyperlink ref="E33" r:id="rId1" xr:uid="{00000000-0004-0000-0B00-000000000000}"/>
    <hyperlink ref="E76" location="Länder_Pajais_Paesi!A1" display="Länder / Pajais / Paese" xr:uid="{00000000-0004-0000-0B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Option Button 1">
              <controlPr defaultSize="0" autoFill="0" autoLine="0" autoPict="0">
                <anchor moveWithCells="1">
                  <from>
                    <xdr:col>6</xdr:col>
                    <xdr:colOff>76200</xdr:colOff>
                    <xdr:row>1</xdr:row>
                    <xdr:rowOff>114300</xdr:rowOff>
                  </from>
                  <to>
                    <xdr:col>7</xdr:col>
                    <xdr:colOff>400050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Option Button 2">
              <controlPr defaultSize="0" autoFill="0" autoLine="0" autoPict="0">
                <anchor moveWithCells="1">
                  <from>
                    <xdr:col>6</xdr:col>
                    <xdr:colOff>76200</xdr:colOff>
                    <xdr:row>2</xdr:row>
                    <xdr:rowOff>104775</xdr:rowOff>
                  </from>
                  <to>
                    <xdr:col>8</xdr:col>
                    <xdr:colOff>47625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Option Button 3">
              <controlPr defaultSize="0" autoFill="0" autoLine="0" autoPict="0">
                <anchor moveWithCells="1">
                  <from>
                    <xdr:col>6</xdr:col>
                    <xdr:colOff>76200</xdr:colOff>
                    <xdr:row>3</xdr:row>
                    <xdr:rowOff>66675</xdr:rowOff>
                  </from>
                  <to>
                    <xdr:col>7</xdr:col>
                    <xdr:colOff>400050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92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3" width="42.140625" style="4" customWidth="1"/>
    <col min="4" max="4" width="13.28515625" style="4" customWidth="1"/>
    <col min="5" max="5" width="12.5703125" style="4" customWidth="1"/>
    <col min="6" max="6" width="15.5703125" style="4" bestFit="1" customWidth="1"/>
    <col min="7" max="7" width="11.28515625" style="4" bestFit="1" customWidth="1"/>
    <col min="8" max="8" width="10.7109375" style="4" bestFit="1" customWidth="1"/>
    <col min="9" max="9" width="12.5703125" style="4" customWidth="1"/>
    <col min="10" max="10" width="15.5703125" style="4" bestFit="1" customWidth="1"/>
    <col min="11" max="16384" width="11.42578125" style="4"/>
  </cols>
  <sheetData>
    <row r="1" spans="1:11" s="68" customFormat="1" x14ac:dyDescent="0.2"/>
    <row r="2" spans="1:11" s="68" customFormat="1" ht="15.75" x14ac:dyDescent="0.25">
      <c r="B2" s="69"/>
      <c r="C2" s="4"/>
      <c r="D2" s="4"/>
    </row>
    <row r="3" spans="1:11" s="68" customFormat="1" ht="15.75" x14ac:dyDescent="0.25">
      <c r="B3" s="69"/>
      <c r="C3" s="4"/>
      <c r="D3" s="4"/>
    </row>
    <row r="4" spans="1:11" s="68" customFormat="1" ht="15.75" x14ac:dyDescent="0.25">
      <c r="B4" s="69"/>
      <c r="C4" s="4"/>
      <c r="D4" s="4"/>
    </row>
    <row r="5" spans="1:11" s="68" customFormat="1" x14ac:dyDescent="0.2"/>
    <row r="6" spans="1:11" s="68" customFormat="1" x14ac:dyDescent="0.2"/>
    <row r="7" spans="1:11" ht="15.75" customHeight="1" x14ac:dyDescent="0.2">
      <c r="A7" s="133" t="str">
        <f>VLOOKUP("&lt;Fachbereich&gt;",Uebersetzungen!$B$4:$E$33,Uebersetzungen!$B$2+1,FALSE)</f>
        <v>Daten &amp; Statistik</v>
      </c>
      <c r="B7" s="133"/>
      <c r="C7" s="133"/>
      <c r="D7" s="133"/>
      <c r="E7" s="120"/>
      <c r="F7" s="1"/>
    </row>
    <row r="8" spans="1:11" ht="10.5" customHeight="1" x14ac:dyDescent="0.2"/>
    <row r="9" spans="1:11" ht="18" x14ac:dyDescent="0.25">
      <c r="A9" s="2" t="str">
        <f>VLOOKUP("&lt;T13Titel1&gt;",Uebersetzungen!$B$4:$E$432,Uebersetzungen!$B$2+1,FALSE)</f>
        <v>Aktuelle Zuordnung der übrigen Länder zu den Ländergruppen:</v>
      </c>
      <c r="B9" s="3"/>
      <c r="C9" s="3"/>
      <c r="D9" s="3"/>
      <c r="E9" s="3"/>
      <c r="F9" s="3"/>
    </row>
    <row r="10" spans="1:11" s="119" customFormat="1" x14ac:dyDescent="0.2">
      <c r="A10" s="116"/>
      <c r="B10" s="117"/>
      <c r="C10" s="118"/>
      <c r="D10" s="118"/>
      <c r="E10" s="118"/>
      <c r="F10" s="118"/>
      <c r="G10" s="118"/>
    </row>
    <row r="11" spans="1:11" ht="13.5" thickBot="1" x14ac:dyDescent="0.25">
      <c r="D11" s="96"/>
      <c r="E11" s="96"/>
      <c r="F11" s="96"/>
      <c r="G11" s="96"/>
      <c r="H11" s="96"/>
      <c r="I11" s="96"/>
      <c r="J11" s="96"/>
      <c r="K11" s="96"/>
    </row>
    <row r="12" spans="1:11" ht="51" customHeight="1" x14ac:dyDescent="0.2">
      <c r="A12" s="128" t="str">
        <f>VLOOKUP("&lt;T13SpaltenTitel_1&gt;",Uebersetzungen!$B$4:$E$435,Uebersetzungen!$B$2+1,FALSE)</f>
        <v>Land</v>
      </c>
      <c r="B12" s="9"/>
      <c r="C12" s="126" t="str">
        <f>VLOOKUP("&lt;T13SpaltenTitel_2&gt;",Uebersetzungen!$B$4:$E$435,Uebersetzungen!$B$2+1,FALSE)</f>
        <v>Ländergruppe</v>
      </c>
      <c r="D12" s="125"/>
      <c r="E12" s="97"/>
      <c r="F12" s="97"/>
      <c r="G12" s="97"/>
      <c r="H12" s="97"/>
      <c r="I12" s="97"/>
      <c r="J12" s="97"/>
      <c r="K12" s="96"/>
    </row>
    <row r="13" spans="1:11" x14ac:dyDescent="0.2">
      <c r="A13" s="24" t="str">
        <f>VLOOKUP("&lt;T13Zeilentitel_1&gt;",Uebersetzungen!$B$4:$E$588,Uebersetzungen!$B$2+1,FALSE)</f>
        <v>Ägypten</v>
      </c>
      <c r="B13" s="5"/>
      <c r="C13" s="127" t="str">
        <f>VLOOKUP("&lt;Zeilentitel_44.6&gt;",Uebersetzungen!$B$4:$E$88,Uebersetzungen!$B$2+1,FALSE)</f>
        <v>Afrikanischer Kontinent</v>
      </c>
      <c r="D13" s="98"/>
      <c r="E13" s="99"/>
      <c r="F13" s="130"/>
      <c r="G13" s="29"/>
      <c r="H13" s="98"/>
      <c r="I13" s="99"/>
      <c r="J13" s="100"/>
      <c r="K13" s="96"/>
    </row>
    <row r="14" spans="1:11" x14ac:dyDescent="0.2">
      <c r="A14" s="24" t="str">
        <f>VLOOKUP("&lt;T13Zeilentitel_2&gt;",Uebersetzungen!$B$4:$E$588,Uebersetzungen!$B$2+1,FALSE)</f>
        <v>Argentinien</v>
      </c>
      <c r="B14" s="5"/>
      <c r="C14" s="127" t="str">
        <f>VLOOKUP("&lt;Zeilentitel_44.5&gt;",Uebersetzungen!$B$4:$E$88,Uebersetzungen!$B$2+1,FALSE)</f>
        <v>übriges Zentral- und Südamerika</v>
      </c>
      <c r="D14" s="98"/>
      <c r="E14" s="99"/>
      <c r="F14" s="130"/>
      <c r="G14" s="29"/>
      <c r="H14" s="98"/>
      <c r="I14" s="99"/>
      <c r="J14" s="100"/>
      <c r="K14" s="96"/>
    </row>
    <row r="15" spans="1:11" x14ac:dyDescent="0.2">
      <c r="A15" s="24" t="str">
        <f>VLOOKUP("&lt;T13Zeilentitel_3&gt;",Uebersetzungen!$B$4:$E$588,Uebersetzungen!$B$2+1,FALSE)</f>
        <v>Australien</v>
      </c>
      <c r="B15" s="5"/>
      <c r="C15" s="127" t="str">
        <f>VLOOKUP("&lt;Zeilentitel_44.9&gt;",Uebersetzungen!$B$4:$E$88,Uebersetzungen!$B$2+1,FALSE)</f>
        <v>einzeln ausgewiesen</v>
      </c>
      <c r="D15" s="98"/>
      <c r="E15" s="99"/>
      <c r="F15" s="130"/>
      <c r="G15" s="29"/>
      <c r="H15" s="98"/>
      <c r="I15" s="99"/>
      <c r="J15" s="100"/>
      <c r="K15" s="96"/>
    </row>
    <row r="16" spans="1:11" x14ac:dyDescent="0.2">
      <c r="A16" s="24" t="str">
        <f>VLOOKUP("&lt;T13Zeilentitel_4&gt;",Uebersetzungen!$B$4:$E$588,Uebersetzungen!$B$2+1,FALSE)</f>
        <v>Bahrain</v>
      </c>
      <c r="B16" s="5"/>
      <c r="C16" s="127" t="str">
        <f>VLOOKUP("&lt;Zeilentitel_44.1&gt;",Uebersetzungen!$B$4:$E$88,Uebersetzungen!$B$2+1,FALSE)</f>
        <v>übrige Golfstaaten</v>
      </c>
      <c r="D16" s="98"/>
      <c r="E16" s="99"/>
      <c r="F16" s="130"/>
      <c r="G16" s="29"/>
      <c r="H16" s="98"/>
      <c r="I16" s="99"/>
      <c r="J16" s="100"/>
      <c r="K16" s="96"/>
    </row>
    <row r="17" spans="1:11" x14ac:dyDescent="0.2">
      <c r="A17" s="24" t="str">
        <f>VLOOKUP("&lt;T13Zeilentitel_5&gt;",Uebersetzungen!$B$4:$E$588,Uebersetzungen!$B$2+1,FALSE)</f>
        <v>Belarus</v>
      </c>
      <c r="B17" s="5"/>
      <c r="C17" s="127" t="str">
        <f>VLOOKUP("&lt;Zeilentitel_44.4&gt;",Uebersetzungen!$B$4:$E$88,Uebersetzungen!$B$2+1,FALSE)</f>
        <v>übriges Osteuropa</v>
      </c>
      <c r="D17" s="98"/>
      <c r="E17" s="99"/>
      <c r="F17" s="130"/>
      <c r="G17" s="29"/>
      <c r="H17" s="98"/>
      <c r="I17" s="99"/>
      <c r="J17" s="100"/>
      <c r="K17" s="96"/>
    </row>
    <row r="18" spans="1:11" x14ac:dyDescent="0.2">
      <c r="A18" s="24" t="str">
        <f>VLOOKUP("&lt;T13Zeilentitel_6&gt;",Uebersetzungen!$B$4:$E$588,Uebersetzungen!$B$2+1,FALSE)</f>
        <v>Belgien</v>
      </c>
      <c r="B18" s="5"/>
      <c r="C18" s="127" t="str">
        <f>VLOOKUP("&lt;Zeilentitel_44.9&gt;",Uebersetzungen!$B$4:$E$88,Uebersetzungen!$B$2+1,FALSE)</f>
        <v>einzeln ausgewiesen</v>
      </c>
      <c r="D18" s="98"/>
      <c r="E18" s="99"/>
      <c r="F18" s="130"/>
      <c r="G18" s="29"/>
      <c r="H18" s="98"/>
      <c r="I18" s="99"/>
      <c r="J18" s="100"/>
      <c r="K18" s="96"/>
    </row>
    <row r="19" spans="1:11" x14ac:dyDescent="0.2">
      <c r="A19" s="24" t="str">
        <f>VLOOKUP("&lt;T13Zeilentitel_7&gt;",Uebersetzungen!$B$4:$E$588,Uebersetzungen!$B$2+1,FALSE)</f>
        <v>Brasilien</v>
      </c>
      <c r="B19" s="5"/>
      <c r="C19" s="127" t="str">
        <f>VLOOKUP("&lt;Zeilentitel_44.9&gt;",Uebersetzungen!$B$4:$E$88,Uebersetzungen!$B$2+1,FALSE)</f>
        <v>einzeln ausgewiesen</v>
      </c>
      <c r="D19" s="98"/>
      <c r="E19" s="99"/>
      <c r="F19" s="130"/>
      <c r="G19" s="29"/>
      <c r="H19" s="98"/>
      <c r="I19" s="99"/>
      <c r="J19" s="100"/>
      <c r="K19" s="96"/>
    </row>
    <row r="20" spans="1:11" x14ac:dyDescent="0.2">
      <c r="A20" s="24" t="str">
        <f>VLOOKUP("&lt;T13Zeilentitel_8&gt;",Uebersetzungen!$B$4:$E$588,Uebersetzungen!$B$2+1,FALSE)</f>
        <v>Bulgarien</v>
      </c>
      <c r="B20" s="5"/>
      <c r="C20" s="127" t="str">
        <f>VLOOKUP("&lt;Zeilentitel_44.4&gt;",Uebersetzungen!$B$4:$E$88,Uebersetzungen!$B$2+1,FALSE)</f>
        <v>übriges Osteuropa</v>
      </c>
      <c r="D20" s="98"/>
      <c r="E20" s="99"/>
      <c r="F20" s="130"/>
      <c r="G20" s="29"/>
      <c r="H20" s="98"/>
      <c r="I20" s="99"/>
      <c r="J20" s="100"/>
      <c r="K20" s="96"/>
    </row>
    <row r="21" spans="1:11" x14ac:dyDescent="0.2">
      <c r="A21" s="24" t="str">
        <f>VLOOKUP("&lt;T13Zeilentitel_9&gt;",Uebersetzungen!$B$4:$E$588,Uebersetzungen!$B$2+1,FALSE)</f>
        <v>Chile</v>
      </c>
      <c r="B21" s="5"/>
      <c r="C21" s="127" t="str">
        <f>VLOOKUP("&lt;Zeilentitel_44.5&gt;",Uebersetzungen!$B$4:$E$88,Uebersetzungen!$B$2+1,FALSE)</f>
        <v>übriges Zentral- und Südamerika</v>
      </c>
      <c r="D21" s="98"/>
      <c r="E21" s="99"/>
      <c r="F21" s="130"/>
      <c r="G21" s="29"/>
      <c r="H21" s="98"/>
      <c r="I21" s="99"/>
      <c r="J21" s="100"/>
      <c r="K21" s="96"/>
    </row>
    <row r="22" spans="1:11" x14ac:dyDescent="0.2">
      <c r="A22" s="24" t="str">
        <f>VLOOKUP("&lt;T13Zeilentitel_10&gt;",Uebersetzungen!$B$4:$E$588,Uebersetzungen!$B$2+1,FALSE)</f>
        <v>China</v>
      </c>
      <c r="B22" s="5"/>
      <c r="C22" s="127" t="str">
        <f>VLOOKUP("&lt;Zeilentitel_44.9&gt;",Uebersetzungen!$B$4:$E$88,Uebersetzungen!$B$2+1,FALSE)</f>
        <v>einzeln ausgewiesen</v>
      </c>
      <c r="D22" s="98"/>
      <c r="E22" s="99"/>
      <c r="F22" s="130"/>
      <c r="G22" s="29"/>
      <c r="H22" s="98"/>
      <c r="I22" s="99"/>
      <c r="J22" s="100"/>
      <c r="K22" s="96"/>
    </row>
    <row r="23" spans="1:11" x14ac:dyDescent="0.2">
      <c r="A23" s="24" t="str">
        <f>VLOOKUP("&lt;T13Zeilentitel_11&gt;",Uebersetzungen!$B$4:$E$588,Uebersetzungen!$B$2+1,FALSE)</f>
        <v>Dänemark</v>
      </c>
      <c r="B23" s="5"/>
      <c r="C23" s="127" t="str">
        <f>VLOOKUP("&lt;Zeilentitel_44.9&gt;",Uebersetzungen!$B$4:$E$88,Uebersetzungen!$B$2+1,FALSE)</f>
        <v>einzeln ausgewiesen</v>
      </c>
      <c r="D23" s="98"/>
      <c r="E23" s="99"/>
      <c r="F23" s="100"/>
      <c r="G23" s="29"/>
      <c r="H23" s="98"/>
      <c r="I23" s="99"/>
      <c r="J23" s="100"/>
      <c r="K23" s="96"/>
    </row>
    <row r="24" spans="1:11" x14ac:dyDescent="0.2">
      <c r="A24" s="24" t="str">
        <f>VLOOKUP("&lt;T13Zeilentitel_12&gt;",Uebersetzungen!$B$4:$E$588,Uebersetzungen!$B$2+1,FALSE)</f>
        <v>Deutschland</v>
      </c>
      <c r="B24" s="5"/>
      <c r="C24" s="127" t="str">
        <f>VLOOKUP("&lt;Zeilentitel_44.9&gt;",Uebersetzungen!$B$4:$E$88,Uebersetzungen!$B$2+1,FALSE)</f>
        <v>einzeln ausgewiesen</v>
      </c>
      <c r="D24" s="98"/>
      <c r="E24" s="99"/>
      <c r="F24" s="100"/>
      <c r="G24" s="29"/>
      <c r="H24" s="98"/>
      <c r="I24" s="99"/>
      <c r="J24" s="100"/>
      <c r="K24" s="96"/>
    </row>
    <row r="25" spans="1:11" x14ac:dyDescent="0.2">
      <c r="A25" s="24" t="str">
        <f>VLOOKUP("&lt;T13Zeilentitel_13&gt;",Uebersetzungen!$B$4:$E$588,Uebersetzungen!$B$2+1,FALSE)</f>
        <v>Estland</v>
      </c>
      <c r="B25" s="5"/>
      <c r="C25" s="127" t="str">
        <f>VLOOKUP("&lt;Zeilentitel_44.4&gt;",Uebersetzungen!$B$4:$E$88,Uebersetzungen!$B$2+1,FALSE)</f>
        <v>übriges Osteuropa</v>
      </c>
      <c r="D25" s="98"/>
      <c r="E25" s="99"/>
      <c r="F25" s="100"/>
      <c r="G25" s="29"/>
      <c r="H25" s="98"/>
      <c r="I25" s="99"/>
      <c r="J25" s="100"/>
      <c r="K25" s="96"/>
    </row>
    <row r="26" spans="1:11" x14ac:dyDescent="0.2">
      <c r="A26" s="24" t="str">
        <f>VLOOKUP("&lt;T13Zeilentitel_14&gt;",Uebersetzungen!$B$4:$E$588,Uebersetzungen!$B$2+1,FALSE)</f>
        <v>Finnland</v>
      </c>
      <c r="B26" s="5"/>
      <c r="C26" s="127" t="str">
        <f>VLOOKUP("&lt;Zeilentitel_44.2&gt;",Uebersetzungen!$B$4:$E$88,Uebersetzungen!$B$2+1,FALSE)</f>
        <v>übriges West- und Nordeuropa</v>
      </c>
      <c r="D26" s="98"/>
      <c r="E26" s="99"/>
      <c r="F26" s="100"/>
      <c r="G26" s="29"/>
      <c r="H26" s="98"/>
      <c r="I26" s="99"/>
      <c r="J26" s="100"/>
      <c r="K26" s="96"/>
    </row>
    <row r="27" spans="1:11" x14ac:dyDescent="0.2">
      <c r="A27" s="24" t="str">
        <f>VLOOKUP("&lt;T13Zeilentitel_15&gt;",Uebersetzungen!$B$4:$E$588,Uebersetzungen!$B$2+1,FALSE)</f>
        <v>Frankreich</v>
      </c>
      <c r="B27" s="5"/>
      <c r="C27" s="127" t="str">
        <f>VLOOKUP("&lt;Zeilentitel_44.9&gt;",Uebersetzungen!$B$4:$E$88,Uebersetzungen!$B$2+1,FALSE)</f>
        <v>einzeln ausgewiesen</v>
      </c>
      <c r="D27" s="98"/>
      <c r="E27" s="99"/>
      <c r="F27" s="100"/>
      <c r="G27" s="29"/>
      <c r="H27" s="98"/>
      <c r="I27" s="99"/>
      <c r="J27" s="100"/>
      <c r="K27" s="96"/>
    </row>
    <row r="28" spans="1:11" x14ac:dyDescent="0.2">
      <c r="A28" s="24" t="str">
        <f>VLOOKUP("&lt;T13Zeilentitel_16&gt;",Uebersetzungen!$B$4:$E$588,Uebersetzungen!$B$2+1,FALSE)</f>
        <v>Griechenland</v>
      </c>
      <c r="B28" s="5"/>
      <c r="C28" s="127" t="str">
        <f>VLOOKUP("&lt;Zeilentitel_44.7&gt;",Uebersetzungen!$B$4:$E$88,Uebersetzungen!$B$2+1,FALSE)</f>
        <v>Südosteuropa</v>
      </c>
      <c r="D28" s="98"/>
      <c r="E28" s="99"/>
      <c r="F28" s="100"/>
      <c r="G28" s="29"/>
      <c r="H28" s="98"/>
      <c r="I28" s="99"/>
      <c r="J28" s="100"/>
      <c r="K28" s="96"/>
    </row>
    <row r="29" spans="1:11" x14ac:dyDescent="0.2">
      <c r="A29" s="24" t="str">
        <f>VLOOKUP("&lt;T13Zeilentitel_17&gt;",Uebersetzungen!$B$4:$E$588,Uebersetzungen!$B$2+1,FALSE)</f>
        <v>Hongkong</v>
      </c>
      <c r="B29" s="5"/>
      <c r="C29" s="127" t="str">
        <f>VLOOKUP("&lt;Zeilentitel_44.3&gt;",Uebersetzungen!$B$4:$E$88,Uebersetzungen!$B$2+1,FALSE)</f>
        <v>übriges Südostasien</v>
      </c>
      <c r="D29" s="98"/>
      <c r="E29" s="99"/>
      <c r="F29" s="100"/>
      <c r="G29" s="29"/>
      <c r="H29" s="98"/>
      <c r="I29" s="99"/>
      <c r="J29" s="100"/>
      <c r="K29" s="96"/>
    </row>
    <row r="30" spans="1:11" x14ac:dyDescent="0.2">
      <c r="A30" s="24" t="str">
        <f>VLOOKUP("&lt;T13Zeilentitel_18&gt;",Uebersetzungen!$B$4:$E$588,Uebersetzungen!$B$2+1,FALSE)</f>
        <v>Indien</v>
      </c>
      <c r="B30" s="5"/>
      <c r="C30" s="127" t="str">
        <f>VLOOKUP("&lt;Zeilentitel_44.9&gt;",Uebersetzungen!$B$4:$E$88,Uebersetzungen!$B$2+1,FALSE)</f>
        <v>einzeln ausgewiesen</v>
      </c>
      <c r="D30" s="98"/>
      <c r="E30" s="99"/>
      <c r="F30" s="100"/>
      <c r="G30" s="29"/>
      <c r="H30" s="98"/>
      <c r="I30" s="99"/>
      <c r="J30" s="100"/>
      <c r="K30" s="96"/>
    </row>
    <row r="31" spans="1:11" x14ac:dyDescent="0.2">
      <c r="A31" s="24" t="str">
        <f>VLOOKUP("&lt;T13Zeilentitel_19&gt;",Uebersetzungen!$B$4:$E$588,Uebersetzungen!$B$2+1,FALSE)</f>
        <v>Indonesien</v>
      </c>
      <c r="B31" s="5"/>
      <c r="C31" s="127" t="str">
        <f>VLOOKUP("&lt;Zeilentitel_44.3&gt;",Uebersetzungen!$B$4:$E$88,Uebersetzungen!$B$2+1,FALSE)</f>
        <v>übriges Südostasien</v>
      </c>
      <c r="D31" s="98"/>
      <c r="E31" s="99"/>
      <c r="F31" s="100"/>
      <c r="G31" s="29"/>
      <c r="H31" s="98"/>
      <c r="I31" s="99"/>
      <c r="J31" s="100"/>
      <c r="K31" s="96"/>
    </row>
    <row r="32" spans="1:11" x14ac:dyDescent="0.2">
      <c r="A32" s="24" t="str">
        <f>VLOOKUP("&lt;T13Zeilentitel_20&gt;",Uebersetzungen!$B$4:$E$588,Uebersetzungen!$B$2+1,FALSE)</f>
        <v>Iran</v>
      </c>
      <c r="B32" s="5"/>
      <c r="C32" s="127" t="str">
        <f>VLOOKUP("&lt;Zeilentitel_44.1&gt;",Uebersetzungen!$B$4:$E$88,Uebersetzungen!$B$2+1,FALSE)</f>
        <v>übrige Golfstaaten</v>
      </c>
      <c r="D32" s="98"/>
      <c r="E32" s="99"/>
      <c r="F32" s="100"/>
      <c r="G32" s="29"/>
      <c r="H32" s="98"/>
      <c r="I32" s="99"/>
      <c r="J32" s="100"/>
      <c r="K32" s="96"/>
    </row>
    <row r="33" spans="1:11" x14ac:dyDescent="0.2">
      <c r="A33" s="24" t="str">
        <f>VLOOKUP("&lt;T13Zeilentitel_21&gt;",Uebersetzungen!$B$4:$E$588,Uebersetzungen!$B$2+1,FALSE)</f>
        <v>Irland</v>
      </c>
      <c r="B33" s="5"/>
      <c r="C33" s="127" t="str">
        <f>VLOOKUP("&lt;Zeilentitel_44.2&gt;",Uebersetzungen!$B$4:$E$88,Uebersetzungen!$B$2+1,FALSE)</f>
        <v>übriges West- und Nordeuropa</v>
      </c>
      <c r="D33" s="98"/>
      <c r="E33" s="99"/>
      <c r="F33" s="100"/>
      <c r="G33" s="29"/>
      <c r="H33" s="98"/>
      <c r="I33" s="99"/>
      <c r="J33" s="100"/>
      <c r="K33" s="96"/>
    </row>
    <row r="34" spans="1:11" x14ac:dyDescent="0.2">
      <c r="A34" s="24" t="str">
        <f>VLOOKUP("&lt;T13Zeilentitel_22&gt;",Uebersetzungen!$B$4:$E$588,Uebersetzungen!$B$2+1,FALSE)</f>
        <v>Island</v>
      </c>
      <c r="B34" s="5"/>
      <c r="C34" s="127" t="str">
        <f>VLOOKUP("&lt;Zeilentitel_44.2&gt;",Uebersetzungen!$B$4:$E$88,Uebersetzungen!$B$2+1,FALSE)</f>
        <v>übriges West- und Nordeuropa</v>
      </c>
      <c r="D34" s="98"/>
      <c r="E34" s="99"/>
      <c r="F34" s="100"/>
      <c r="G34" s="29"/>
      <c r="H34" s="98"/>
      <c r="I34" s="99"/>
      <c r="J34" s="100"/>
      <c r="K34" s="96"/>
    </row>
    <row r="35" spans="1:11" x14ac:dyDescent="0.2">
      <c r="A35" s="24" t="str">
        <f>VLOOKUP("&lt;T13Zeilentitel_23&gt;",Uebersetzungen!$B$4:$E$588,Uebersetzungen!$B$2+1,FALSE)</f>
        <v>Israel</v>
      </c>
      <c r="B35" s="5"/>
      <c r="C35" s="127" t="str">
        <f>VLOOKUP("&lt;Zeilentitel_44.9&gt;",Uebersetzungen!$B$4:$E$88,Uebersetzungen!$B$2+1,FALSE)</f>
        <v>einzeln ausgewiesen</v>
      </c>
      <c r="D35" s="98"/>
      <c r="E35" s="99"/>
      <c r="F35" s="100"/>
      <c r="G35" s="29"/>
      <c r="H35" s="98"/>
      <c r="I35" s="99"/>
      <c r="J35" s="100"/>
      <c r="K35" s="96"/>
    </row>
    <row r="36" spans="1:11" x14ac:dyDescent="0.2">
      <c r="A36" s="24" t="str">
        <f>VLOOKUP("&lt;T13Zeilentitel_24&gt;",Uebersetzungen!$B$4:$E$588,Uebersetzungen!$B$2+1,FALSE)</f>
        <v>Italien</v>
      </c>
      <c r="B36" s="5"/>
      <c r="C36" s="127" t="str">
        <f>VLOOKUP("&lt;Zeilentitel_44.9&gt;",Uebersetzungen!$B$4:$E$88,Uebersetzungen!$B$2+1,FALSE)</f>
        <v>einzeln ausgewiesen</v>
      </c>
      <c r="D36" s="98"/>
      <c r="E36" s="99"/>
      <c r="F36" s="100"/>
      <c r="G36" s="29"/>
      <c r="H36" s="98"/>
      <c r="I36" s="99"/>
      <c r="J36" s="100"/>
      <c r="K36" s="96"/>
    </row>
    <row r="37" spans="1:11" x14ac:dyDescent="0.2">
      <c r="A37" s="24" t="str">
        <f>VLOOKUP("&lt;T13Zeilentitel_25&gt;",Uebersetzungen!$B$4:$E$588,Uebersetzungen!$B$2+1,FALSE)</f>
        <v>Japan</v>
      </c>
      <c r="B37" s="5"/>
      <c r="C37" s="127" t="str">
        <f>VLOOKUP("&lt;Zeilentitel_44.9&gt;",Uebersetzungen!$B$4:$E$88,Uebersetzungen!$B$2+1,FALSE)</f>
        <v>einzeln ausgewiesen</v>
      </c>
      <c r="D37" s="98"/>
      <c r="E37" s="99"/>
      <c r="F37" s="100"/>
      <c r="G37" s="29"/>
      <c r="H37" s="98"/>
      <c r="I37" s="99"/>
      <c r="J37" s="100"/>
      <c r="K37" s="96"/>
    </row>
    <row r="38" spans="1:11" x14ac:dyDescent="0.2">
      <c r="A38" s="24" t="str">
        <f>VLOOKUP("&lt;T13Zeilentitel_26&gt;",Uebersetzungen!$B$4:$E$588,Uebersetzungen!$B$2+1,FALSE)</f>
        <v>Kanada</v>
      </c>
      <c r="B38" s="5"/>
      <c r="C38" s="127" t="str">
        <f>VLOOKUP("&lt;Zeilentitel_44.9&gt;",Uebersetzungen!$B$4:$E$88,Uebersetzungen!$B$2+1,FALSE)</f>
        <v>einzeln ausgewiesen</v>
      </c>
      <c r="D38" s="98"/>
      <c r="E38" s="99"/>
      <c r="F38" s="100"/>
      <c r="G38" s="29"/>
      <c r="H38" s="98"/>
      <c r="I38" s="99"/>
      <c r="J38" s="100"/>
      <c r="K38" s="96"/>
    </row>
    <row r="39" spans="1:11" x14ac:dyDescent="0.2">
      <c r="A39" s="24" t="str">
        <f>VLOOKUP("&lt;T13Zeilentitel_27&gt;",Uebersetzungen!$B$4:$E$588,Uebersetzungen!$B$2+1,FALSE)</f>
        <v>Katar</v>
      </c>
      <c r="B39" s="5"/>
      <c r="C39" s="127" t="str">
        <f>VLOOKUP("&lt;Zeilentitel_44.1&gt;",Uebersetzungen!$B$4:$E$88,Uebersetzungen!$B$2+1,FALSE)</f>
        <v>übrige Golfstaaten</v>
      </c>
      <c r="D39" s="98"/>
      <c r="E39" s="99"/>
      <c r="F39" s="100"/>
      <c r="G39" s="29"/>
      <c r="H39" s="98"/>
      <c r="I39" s="99"/>
      <c r="J39" s="100"/>
      <c r="K39" s="96"/>
    </row>
    <row r="40" spans="1:11" x14ac:dyDescent="0.2">
      <c r="A40" s="24" t="str">
        <f>VLOOKUP("&lt;T13Zeilentitel_28&gt;",Uebersetzungen!$B$4:$E$588,Uebersetzungen!$B$2+1,FALSE)</f>
        <v>Korea (Süd-)</v>
      </c>
      <c r="B40" s="5"/>
      <c r="C40" s="127" t="str">
        <f>VLOOKUP("&lt;Zeilentitel_44.3&gt;",Uebersetzungen!$B$4:$E$88,Uebersetzungen!$B$2+1,FALSE)</f>
        <v>übriges Südostasien</v>
      </c>
      <c r="D40" s="98"/>
      <c r="E40" s="99"/>
      <c r="F40" s="100"/>
      <c r="G40" s="29"/>
      <c r="H40" s="98"/>
      <c r="I40" s="99"/>
      <c r="J40" s="100"/>
      <c r="K40" s="96"/>
    </row>
    <row r="41" spans="1:11" x14ac:dyDescent="0.2">
      <c r="A41" s="24" t="str">
        <f>VLOOKUP("&lt;T13Zeilentitel_29&gt;",Uebersetzungen!$B$4:$E$588,Uebersetzungen!$B$2+1,FALSE)</f>
        <v>Kroatien</v>
      </c>
      <c r="B41" s="5"/>
      <c r="C41" s="127" t="str">
        <f>VLOOKUP("&lt;Zeilentitel_44.7&gt;",Uebersetzungen!$B$4:$E$88,Uebersetzungen!$B$2+1,FALSE)</f>
        <v>Südosteuropa</v>
      </c>
      <c r="D41" s="98"/>
      <c r="E41" s="99"/>
      <c r="F41" s="100"/>
      <c r="G41" s="29"/>
      <c r="H41" s="98"/>
      <c r="I41" s="99"/>
      <c r="J41" s="100"/>
      <c r="K41" s="96"/>
    </row>
    <row r="42" spans="1:11" x14ac:dyDescent="0.2">
      <c r="A42" s="24" t="str">
        <f>VLOOKUP("&lt;T13Zeilentitel_30&gt;",Uebersetzungen!$B$4:$E$588,Uebersetzungen!$B$2+1,FALSE)</f>
        <v>Kuwait</v>
      </c>
      <c r="B42" s="5"/>
      <c r="C42" s="127" t="str">
        <f>VLOOKUP("&lt;Zeilentitel_44.1&gt;",Uebersetzungen!$B$4:$E$88,Uebersetzungen!$B$2+1,FALSE)</f>
        <v>übrige Golfstaaten</v>
      </c>
      <c r="D42" s="98"/>
      <c r="E42" s="99"/>
      <c r="F42" s="100"/>
      <c r="G42" s="29"/>
      <c r="H42" s="98"/>
      <c r="I42" s="99"/>
      <c r="J42" s="100"/>
      <c r="K42" s="96"/>
    </row>
    <row r="43" spans="1:11" x14ac:dyDescent="0.2">
      <c r="A43" s="24" t="str">
        <f>VLOOKUP("&lt;T13Zeilentitel_31&gt;",Uebersetzungen!$B$4:$E$588,Uebersetzungen!$B$2+1,FALSE)</f>
        <v>Lettland</v>
      </c>
      <c r="B43" s="5"/>
      <c r="C43" s="127" t="str">
        <f>VLOOKUP("&lt;Zeilentitel_44.4&gt;",Uebersetzungen!$B$4:$E$88,Uebersetzungen!$B$2+1,FALSE)</f>
        <v>übriges Osteuropa</v>
      </c>
      <c r="D43" s="98"/>
      <c r="E43" s="99"/>
      <c r="F43" s="100"/>
      <c r="G43" s="29"/>
      <c r="H43" s="98"/>
      <c r="I43" s="99"/>
      <c r="J43" s="100"/>
      <c r="K43" s="96"/>
    </row>
    <row r="44" spans="1:11" x14ac:dyDescent="0.2">
      <c r="A44" s="24" t="str">
        <f>VLOOKUP("&lt;T13Zeilentitel_32&gt;",Uebersetzungen!$B$4:$E$588,Uebersetzungen!$B$2+1,FALSE)</f>
        <v>Liechtenstein</v>
      </c>
      <c r="B44" s="5"/>
      <c r="C44" s="127" t="str">
        <f>VLOOKUP("&lt;Zeilentitel_44.2&gt;",Uebersetzungen!$B$4:$E$88,Uebersetzungen!$B$2+1,FALSE)</f>
        <v>übriges West- und Nordeuropa</v>
      </c>
      <c r="D44" s="98"/>
      <c r="E44" s="99"/>
      <c r="F44" s="100"/>
      <c r="G44" s="29"/>
      <c r="H44" s="98"/>
      <c r="I44" s="99"/>
      <c r="J44" s="100"/>
      <c r="K44" s="96"/>
    </row>
    <row r="45" spans="1:11" x14ac:dyDescent="0.2">
      <c r="A45" s="24" t="str">
        <f>VLOOKUP("&lt;T13Zeilentitel_33&gt;",Uebersetzungen!$B$4:$E$588,Uebersetzungen!$B$2+1,FALSE)</f>
        <v>Litauen</v>
      </c>
      <c r="B45" s="5"/>
      <c r="C45" s="127" t="str">
        <f>VLOOKUP("&lt;Zeilentitel_44.4&gt;",Uebersetzungen!$B$4:$E$88,Uebersetzungen!$B$2+1,FALSE)</f>
        <v>übriges Osteuropa</v>
      </c>
      <c r="D45" s="98"/>
      <c r="E45" s="99"/>
      <c r="F45" s="100"/>
      <c r="G45" s="29"/>
      <c r="H45" s="98"/>
      <c r="I45" s="99"/>
      <c r="J45" s="100"/>
      <c r="K45" s="96"/>
    </row>
    <row r="46" spans="1:11" x14ac:dyDescent="0.2">
      <c r="A46" s="24" t="str">
        <f>VLOOKUP("&lt;T13Zeilentitel_34&gt;",Uebersetzungen!$B$4:$E$588,Uebersetzungen!$B$2+1,FALSE)</f>
        <v>Luxemburg</v>
      </c>
      <c r="B46" s="5"/>
      <c r="C46" s="127" t="str">
        <f>VLOOKUP("&lt;Zeilentitel_44.9&gt;",Uebersetzungen!$B$4:$E$88,Uebersetzungen!$B$2+1,FALSE)</f>
        <v>einzeln ausgewiesen</v>
      </c>
      <c r="D46" s="98"/>
      <c r="E46" s="99"/>
      <c r="F46" s="100"/>
      <c r="G46" s="29"/>
      <c r="H46" s="98"/>
      <c r="I46" s="99"/>
      <c r="J46" s="100"/>
      <c r="K46" s="96"/>
    </row>
    <row r="47" spans="1:11" x14ac:dyDescent="0.2">
      <c r="A47" s="24" t="str">
        <f>VLOOKUP("&lt;T13Zeilentitel_35&gt;",Uebersetzungen!$B$4:$E$588,Uebersetzungen!$B$2+1,FALSE)</f>
        <v>Malaysia</v>
      </c>
      <c r="B47" s="5"/>
      <c r="C47" s="127" t="str">
        <f>VLOOKUP("&lt;Zeilentitel_44.3&gt;",Uebersetzungen!$B$4:$E$88,Uebersetzungen!$B$2+1,FALSE)</f>
        <v>übriges Südostasien</v>
      </c>
      <c r="D47" s="98"/>
      <c r="E47" s="99"/>
      <c r="F47" s="100"/>
      <c r="G47" s="29"/>
      <c r="H47" s="98"/>
      <c r="I47" s="99"/>
      <c r="J47" s="100"/>
      <c r="K47" s="96"/>
    </row>
    <row r="48" spans="1:11" x14ac:dyDescent="0.2">
      <c r="A48" s="24" t="str">
        <f>VLOOKUP("&lt;T13Zeilentitel_36&gt;",Uebersetzungen!$B$4:$E$588,Uebersetzungen!$B$2+1,FALSE)</f>
        <v>Malta</v>
      </c>
      <c r="B48" s="5"/>
      <c r="C48" s="127" t="str">
        <f>VLOOKUP("&lt;Zeilentitel_44.2&gt;",Uebersetzungen!$B$4:$E$88,Uebersetzungen!$B$2+1,FALSE)</f>
        <v>übriges West- und Nordeuropa</v>
      </c>
      <c r="D48" s="98"/>
      <c r="E48" s="99"/>
      <c r="F48" s="100"/>
      <c r="G48" s="29"/>
      <c r="H48" s="98"/>
      <c r="I48" s="99"/>
      <c r="J48" s="100"/>
      <c r="K48" s="96"/>
    </row>
    <row r="49" spans="1:11" x14ac:dyDescent="0.2">
      <c r="A49" s="24" t="str">
        <f>VLOOKUP("&lt;T13Zeilentitel_37&gt;",Uebersetzungen!$B$4:$E$588,Uebersetzungen!$B$2+1,FALSE)</f>
        <v>Mexiko</v>
      </c>
      <c r="B49" s="5"/>
      <c r="C49" s="127" t="str">
        <f>VLOOKUP("&lt;Zeilentitel_44.5&gt;",Uebersetzungen!$B$4:$E$88,Uebersetzungen!$B$2+1,FALSE)</f>
        <v>übriges Zentral- und Südamerika</v>
      </c>
      <c r="D49" s="98"/>
      <c r="E49" s="99"/>
      <c r="F49" s="100"/>
      <c r="G49" s="29"/>
      <c r="H49" s="98"/>
      <c r="I49" s="99"/>
      <c r="J49" s="100"/>
      <c r="K49" s="96"/>
    </row>
    <row r="50" spans="1:11" x14ac:dyDescent="0.2">
      <c r="A50" s="24" t="str">
        <f>VLOOKUP("&lt;T13Zeilentitel_38&gt;",Uebersetzungen!$B$4:$E$588,Uebersetzungen!$B$2+1,FALSE)</f>
        <v>Neuseeland, Ozeanien</v>
      </c>
      <c r="B50" s="5"/>
      <c r="C50" s="127" t="str">
        <f>VLOOKUP("&lt;Zeilentitel_44.3&gt;",Uebersetzungen!$B$4:$E$88,Uebersetzungen!$B$2+1,FALSE)</f>
        <v>übriges Südostasien</v>
      </c>
      <c r="D50" s="98"/>
      <c r="E50" s="99"/>
      <c r="F50" s="100"/>
      <c r="G50" s="29"/>
      <c r="H50" s="98"/>
      <c r="I50" s="99"/>
      <c r="J50" s="100"/>
      <c r="K50" s="96"/>
    </row>
    <row r="51" spans="1:11" x14ac:dyDescent="0.2">
      <c r="A51" s="24" t="str">
        <f>VLOOKUP("&lt;T13Zeilentitel_39&gt;",Uebersetzungen!$B$4:$E$588,Uebersetzungen!$B$2+1,FALSE)</f>
        <v>Niederlande</v>
      </c>
      <c r="B51" s="5"/>
      <c r="C51" s="127" t="str">
        <f>VLOOKUP("&lt;Zeilentitel_44.9&gt;",Uebersetzungen!$B$4:$E$88,Uebersetzungen!$B$2+1,FALSE)</f>
        <v>einzeln ausgewiesen</v>
      </c>
      <c r="D51" s="98"/>
      <c r="E51" s="99"/>
      <c r="F51" s="100"/>
      <c r="G51" s="29"/>
      <c r="H51" s="98"/>
      <c r="I51" s="99"/>
      <c r="J51" s="100"/>
      <c r="K51" s="96"/>
    </row>
    <row r="52" spans="1:11" x14ac:dyDescent="0.2">
      <c r="A52" s="24" t="str">
        <f>VLOOKUP("&lt;T13Zeilentitel_40&gt;",Uebersetzungen!$B$4:$E$588,Uebersetzungen!$B$2+1,FALSE)</f>
        <v>Norwegen</v>
      </c>
      <c r="B52" s="5"/>
      <c r="C52" s="127" t="str">
        <f>VLOOKUP("&lt;Zeilentitel_44.2&gt;",Uebersetzungen!$B$4:$E$88,Uebersetzungen!$B$2+1,FALSE)</f>
        <v>übriges West- und Nordeuropa</v>
      </c>
      <c r="D52" s="98"/>
      <c r="E52" s="99"/>
      <c r="F52" s="100"/>
      <c r="G52" s="29"/>
      <c r="H52" s="98"/>
      <c r="I52" s="99"/>
      <c r="J52" s="100"/>
      <c r="K52" s="96"/>
    </row>
    <row r="53" spans="1:11" x14ac:dyDescent="0.2">
      <c r="A53" s="24" t="str">
        <f>VLOOKUP("&lt;T13Zeilentitel_41&gt;",Uebersetzungen!$B$4:$E$588,Uebersetzungen!$B$2+1,FALSE)</f>
        <v>Oman</v>
      </c>
      <c r="B53" s="5"/>
      <c r="C53" s="127" t="str">
        <f>VLOOKUP("&lt;Zeilentitel_44.1&gt;",Uebersetzungen!$B$4:$E$88,Uebersetzungen!$B$2+1,FALSE)</f>
        <v>übrige Golfstaaten</v>
      </c>
      <c r="D53" s="98"/>
      <c r="E53" s="99"/>
      <c r="F53" s="100"/>
      <c r="G53" s="29"/>
      <c r="H53" s="98"/>
      <c r="I53" s="99"/>
      <c r="J53" s="100"/>
      <c r="K53" s="96"/>
    </row>
    <row r="54" spans="1:11" x14ac:dyDescent="0.2">
      <c r="A54" s="24" t="str">
        <f>VLOOKUP("&lt;T13Zeilentitel_42&gt;",Uebersetzungen!$B$4:$E$588,Uebersetzungen!$B$2+1,FALSE)</f>
        <v>Österreich</v>
      </c>
      <c r="B54" s="5"/>
      <c r="C54" s="127" t="str">
        <f>VLOOKUP("&lt;Zeilentitel_44.9&gt;",Uebersetzungen!$B$4:$E$88,Uebersetzungen!$B$2+1,FALSE)</f>
        <v>einzeln ausgewiesen</v>
      </c>
      <c r="D54" s="98"/>
      <c r="E54" s="99"/>
      <c r="F54" s="100"/>
      <c r="G54" s="29"/>
      <c r="H54" s="98"/>
      <c r="I54" s="99"/>
      <c r="J54" s="100"/>
      <c r="K54" s="96"/>
    </row>
    <row r="55" spans="1:11" x14ac:dyDescent="0.2">
      <c r="A55" s="24" t="str">
        <f>VLOOKUP("&lt;T13Zeilentitel_43&gt;",Uebersetzungen!$B$4:$E$588,Uebersetzungen!$B$2+1,FALSE)</f>
        <v>Philippinen</v>
      </c>
      <c r="B55" s="5"/>
      <c r="C55" s="127" t="str">
        <f>VLOOKUP("&lt;Zeilentitel_44.3&gt;",Uebersetzungen!$B$4:$E$88,Uebersetzungen!$B$2+1,FALSE)</f>
        <v>übriges Südostasien</v>
      </c>
      <c r="D55" s="98"/>
      <c r="E55" s="99"/>
      <c r="F55" s="100"/>
      <c r="G55" s="29"/>
      <c r="H55" s="98"/>
      <c r="I55" s="99"/>
      <c r="J55" s="100"/>
      <c r="K55" s="96"/>
    </row>
    <row r="56" spans="1:11" x14ac:dyDescent="0.2">
      <c r="A56" s="24" t="str">
        <f>VLOOKUP("&lt;T13Zeilentitel_44&gt;",Uebersetzungen!$B$4:$E$588,Uebersetzungen!$B$2+1,FALSE)</f>
        <v>Portugal</v>
      </c>
      <c r="B56" s="5"/>
      <c r="C56" s="127" t="str">
        <f>VLOOKUP("&lt;Zeilentitel_44.2&gt;",Uebersetzungen!$B$4:$E$88,Uebersetzungen!$B$2+1,FALSE)</f>
        <v>übriges West- und Nordeuropa</v>
      </c>
      <c r="D56" s="98"/>
      <c r="E56" s="99"/>
      <c r="F56" s="100"/>
      <c r="G56" s="29"/>
      <c r="H56" s="98"/>
      <c r="I56" s="99"/>
      <c r="J56" s="100"/>
      <c r="K56" s="96"/>
    </row>
    <row r="57" spans="1:11" x14ac:dyDescent="0.2">
      <c r="A57" s="24" t="str">
        <f>VLOOKUP("&lt;T13Zeilentitel_45&gt;",Uebersetzungen!$B$4:$E$588,Uebersetzungen!$B$2+1,FALSE)</f>
        <v>Polen</v>
      </c>
      <c r="B57" s="5"/>
      <c r="C57" s="127" t="str">
        <f>VLOOKUP("&lt;Zeilentitel_44.9&gt;",Uebersetzungen!$B$4:$E$88,Uebersetzungen!$B$2+1,FALSE)</f>
        <v>einzeln ausgewiesen</v>
      </c>
      <c r="D57" s="98"/>
      <c r="E57" s="99"/>
      <c r="F57" s="100"/>
      <c r="G57" s="29"/>
      <c r="H57" s="98"/>
      <c r="I57" s="99"/>
      <c r="J57" s="100"/>
      <c r="K57" s="96"/>
    </row>
    <row r="58" spans="1:11" x14ac:dyDescent="0.2">
      <c r="A58" s="24" t="str">
        <f>VLOOKUP("&lt;T13Zeilentitel_46&gt;",Uebersetzungen!$B$4:$E$588,Uebersetzungen!$B$2+1,FALSE)</f>
        <v>Rumänien</v>
      </c>
      <c r="B58" s="5"/>
      <c r="C58" s="127" t="str">
        <f>VLOOKUP("&lt;Zeilentitel_44.4&gt;",Uebersetzungen!$B$4:$E$88,Uebersetzungen!$B$2+1,FALSE)</f>
        <v>übriges Osteuropa</v>
      </c>
      <c r="D58" s="98"/>
      <c r="E58" s="99"/>
      <c r="F58" s="100"/>
      <c r="G58" s="29"/>
      <c r="H58" s="98"/>
      <c r="I58" s="99"/>
      <c r="J58" s="100"/>
      <c r="K58" s="96"/>
    </row>
    <row r="59" spans="1:11" x14ac:dyDescent="0.2">
      <c r="A59" s="24" t="str">
        <f>VLOOKUP("&lt;T13Zeilentitel_47&gt;",Uebersetzungen!$B$4:$E$588,Uebersetzungen!$B$2+1,FALSE)</f>
        <v>Russland</v>
      </c>
      <c r="B59" s="5"/>
      <c r="C59" s="127" t="str">
        <f>VLOOKUP("&lt;Zeilentitel_44.4&gt;",Uebersetzungen!$B$4:$E$88,Uebersetzungen!$B$2+1,FALSE)</f>
        <v>übriges Osteuropa</v>
      </c>
      <c r="D59" s="98"/>
      <c r="E59" s="99"/>
      <c r="F59" s="100"/>
      <c r="G59" s="29"/>
      <c r="H59" s="98"/>
      <c r="I59" s="99"/>
      <c r="J59" s="100"/>
      <c r="K59" s="96"/>
    </row>
    <row r="60" spans="1:11" x14ac:dyDescent="0.2">
      <c r="A60" s="24" t="str">
        <f>VLOOKUP("&lt;T13Zeilentitel_48&gt;",Uebersetzungen!$B$4:$E$588,Uebersetzungen!$B$2+1,FALSE)</f>
        <v>Saudi-Arabien</v>
      </c>
      <c r="B60" s="5"/>
      <c r="C60" s="127" t="str">
        <f>VLOOKUP("&lt;Zeilentitel_44.1&gt;",Uebersetzungen!$B$4:$E$88,Uebersetzungen!$B$2+1,FALSE)</f>
        <v>übrige Golfstaaten</v>
      </c>
      <c r="D60" s="98"/>
      <c r="E60" s="99"/>
      <c r="F60" s="100"/>
      <c r="G60" s="29"/>
      <c r="H60" s="98"/>
      <c r="I60" s="99"/>
      <c r="J60" s="100"/>
      <c r="K60" s="96"/>
    </row>
    <row r="61" spans="1:11" x14ac:dyDescent="0.2">
      <c r="A61" s="24" t="str">
        <f>VLOOKUP("&lt;T13Zeilentitel_49&gt;",Uebersetzungen!$B$4:$E$588,Uebersetzungen!$B$2+1,FALSE)</f>
        <v>Schweden</v>
      </c>
      <c r="B61" s="5"/>
      <c r="C61" s="127" t="str">
        <f>VLOOKUP("&lt;Zeilentitel_44.9&gt;",Uebersetzungen!$B$4:$E$88,Uebersetzungen!$B$2+1,FALSE)</f>
        <v>einzeln ausgewiesen</v>
      </c>
      <c r="D61" s="98"/>
      <c r="E61" s="99"/>
      <c r="F61" s="100"/>
      <c r="G61" s="29"/>
      <c r="H61" s="98"/>
      <c r="I61" s="99"/>
      <c r="J61" s="100"/>
      <c r="K61" s="96"/>
    </row>
    <row r="62" spans="1:11" x14ac:dyDescent="0.2">
      <c r="A62" s="24" t="str">
        <f>VLOOKUP("&lt;T13Zeilentitel_50&gt;",Uebersetzungen!$B$4:$E$588,Uebersetzungen!$B$2+1,FALSE)</f>
        <v>Schweiz</v>
      </c>
      <c r="B62" s="5"/>
      <c r="C62" s="127" t="str">
        <f>VLOOKUP("&lt;Zeilentitel_44.9&gt;",Uebersetzungen!$B$4:$E$88,Uebersetzungen!$B$2+1,FALSE)</f>
        <v>einzeln ausgewiesen</v>
      </c>
      <c r="D62" s="98"/>
      <c r="E62" s="99"/>
      <c r="F62" s="100"/>
      <c r="G62" s="29"/>
      <c r="H62" s="98"/>
      <c r="I62" s="99"/>
      <c r="J62" s="100"/>
      <c r="K62" s="96"/>
    </row>
    <row r="63" spans="1:11" x14ac:dyDescent="0.2">
      <c r="A63" s="24" t="str">
        <f>VLOOKUP("&lt;T13Zeilentitel_51&gt;",Uebersetzungen!$B$4:$E$588,Uebersetzungen!$B$2+1,FALSE)</f>
        <v>Serbien</v>
      </c>
      <c r="B63" s="5"/>
      <c r="C63" s="127" t="str">
        <f>VLOOKUP("&lt;Zeilentitel_44.7&gt;",Uebersetzungen!$B$4:$E$88,Uebersetzungen!$B$2+1,FALSE)</f>
        <v>Südosteuropa</v>
      </c>
      <c r="D63" s="98"/>
      <c r="E63" s="99"/>
      <c r="F63" s="100"/>
      <c r="G63" s="29"/>
      <c r="H63" s="98"/>
      <c r="I63" s="99"/>
      <c r="J63" s="100"/>
      <c r="K63" s="96"/>
    </row>
    <row r="64" spans="1:11" x14ac:dyDescent="0.2">
      <c r="A64" s="24" t="str">
        <f>VLOOKUP("&lt;T13Zeilentitel_52&gt;",Uebersetzungen!$B$4:$E$588,Uebersetzungen!$B$2+1,FALSE)</f>
        <v>Singapur</v>
      </c>
      <c r="B64" s="5"/>
      <c r="C64" s="127" t="str">
        <f>VLOOKUP("&lt;Zeilentitel_44.3&gt;",Uebersetzungen!$B$4:$E$88,Uebersetzungen!$B$2+1,FALSE)</f>
        <v>übriges Südostasien</v>
      </c>
      <c r="D64" s="98"/>
      <c r="E64" s="99"/>
      <c r="F64" s="100"/>
      <c r="G64" s="29"/>
      <c r="H64" s="98"/>
      <c r="I64" s="99"/>
      <c r="J64" s="100"/>
      <c r="K64" s="96"/>
    </row>
    <row r="65" spans="1:11" x14ac:dyDescent="0.2">
      <c r="A65" s="24" t="str">
        <f>VLOOKUP("&lt;T13Zeilentitel_53&gt;",Uebersetzungen!$B$4:$E$588,Uebersetzungen!$B$2+1,FALSE)</f>
        <v>Slowakei</v>
      </c>
      <c r="B65" s="5"/>
      <c r="C65" s="127" t="str">
        <f>VLOOKUP("&lt;Zeilentitel_44.4&gt;",Uebersetzungen!$B$4:$E$88,Uebersetzungen!$B$2+1,FALSE)</f>
        <v>übriges Osteuropa</v>
      </c>
      <c r="D65" s="98"/>
      <c r="E65" s="99"/>
      <c r="F65" s="100"/>
      <c r="G65" s="29"/>
      <c r="H65" s="98"/>
      <c r="I65" s="99"/>
      <c r="J65" s="100"/>
      <c r="K65" s="96"/>
    </row>
    <row r="66" spans="1:11" x14ac:dyDescent="0.2">
      <c r="A66" s="24" t="str">
        <f>VLOOKUP("&lt;T13Zeilentitel_54&gt;",Uebersetzungen!$B$4:$E$588,Uebersetzungen!$B$2+1,FALSE)</f>
        <v>Slowenien</v>
      </c>
      <c r="B66" s="5"/>
      <c r="C66" s="127" t="str">
        <f>VLOOKUP("&lt;Zeilentitel_44.7&gt;",Uebersetzungen!$B$4:$E$88,Uebersetzungen!$B$2+1,FALSE)</f>
        <v>Südosteuropa</v>
      </c>
      <c r="D66" s="98"/>
      <c r="E66" s="99"/>
      <c r="F66" s="100"/>
      <c r="G66" s="29"/>
      <c r="H66" s="98"/>
      <c r="I66" s="99"/>
      <c r="J66" s="100"/>
      <c r="K66" s="96"/>
    </row>
    <row r="67" spans="1:11" x14ac:dyDescent="0.2">
      <c r="A67" s="24" t="str">
        <f>VLOOKUP("&lt;T13Zeilentitel_55&gt;",Uebersetzungen!$B$4:$E$588,Uebersetzungen!$B$2+1,FALSE)</f>
        <v>Spanien</v>
      </c>
      <c r="B67" s="5"/>
      <c r="C67" s="127" t="str">
        <f>VLOOKUP("&lt;Zeilentitel_44.9&gt;",Uebersetzungen!$B$4:$E$88,Uebersetzungen!$B$2+1,FALSE)</f>
        <v>einzeln ausgewiesen</v>
      </c>
      <c r="D67" s="98"/>
      <c r="E67" s="99"/>
      <c r="F67" s="100"/>
      <c r="G67" s="29"/>
      <c r="H67" s="98"/>
      <c r="I67" s="99"/>
      <c r="J67" s="100"/>
      <c r="K67" s="96"/>
    </row>
    <row r="68" spans="1:11" x14ac:dyDescent="0.2">
      <c r="A68" s="24" t="str">
        <f>VLOOKUP("&lt;T13Zeilentitel_56&gt;",Uebersetzungen!$B$4:$E$588,Uebersetzungen!$B$2+1,FALSE)</f>
        <v>Südafrika</v>
      </c>
      <c r="B68" s="5"/>
      <c r="C68" s="127" t="str">
        <f>VLOOKUP("&lt;Zeilentitel_44.6&gt;",Uebersetzungen!$B$4:$E$88,Uebersetzungen!$B$2+1,FALSE)</f>
        <v>Afrikanischer Kontinent</v>
      </c>
      <c r="D68" s="98"/>
      <c r="E68" s="99"/>
      <c r="F68" s="100"/>
      <c r="G68" s="29"/>
      <c r="H68" s="98"/>
      <c r="I68" s="99"/>
      <c r="J68" s="100"/>
      <c r="K68" s="96"/>
    </row>
    <row r="69" spans="1:11" x14ac:dyDescent="0.2">
      <c r="A69" s="24" t="str">
        <f>VLOOKUP("&lt;T13Zeilentitel_57&gt;",Uebersetzungen!$B$4:$E$588,Uebersetzungen!$B$2+1,FALSE)</f>
        <v>Taiwan</v>
      </c>
      <c r="B69" s="5"/>
      <c r="C69" s="127" t="str">
        <f>VLOOKUP("&lt;Zeilentitel_44.9&gt;",Uebersetzungen!$B$4:$E$88,Uebersetzungen!$B$2+1,FALSE)</f>
        <v>einzeln ausgewiesen</v>
      </c>
      <c r="D69" s="98"/>
      <c r="E69" s="99"/>
      <c r="F69" s="100"/>
      <c r="G69" s="29"/>
      <c r="H69" s="98"/>
      <c r="I69" s="99"/>
      <c r="J69" s="100"/>
      <c r="K69" s="96"/>
    </row>
    <row r="70" spans="1:11" x14ac:dyDescent="0.2">
      <c r="A70" s="24" t="str">
        <f>VLOOKUP("&lt;T13Zeilentitel_58&gt;",Uebersetzungen!$B$4:$E$588,Uebersetzungen!$B$2+1,FALSE)</f>
        <v>Thailand</v>
      </c>
      <c r="B70" s="5"/>
      <c r="C70" s="127" t="str">
        <f>VLOOKUP("&lt;Zeilentitel_44.3&gt;",Uebersetzungen!$B$4:$E$88,Uebersetzungen!$B$2+1,FALSE)</f>
        <v>übriges Südostasien</v>
      </c>
      <c r="D70" s="98"/>
      <c r="E70" s="99"/>
      <c r="F70" s="100"/>
      <c r="G70" s="29"/>
      <c r="H70" s="98"/>
      <c r="I70" s="99"/>
      <c r="J70" s="100"/>
      <c r="K70" s="96"/>
    </row>
    <row r="71" spans="1:11" x14ac:dyDescent="0.2">
      <c r="A71" s="24" t="str">
        <f>VLOOKUP("&lt;T13Zeilentitel_59&gt;",Uebersetzungen!$B$4:$E$588,Uebersetzungen!$B$2+1,FALSE)</f>
        <v>Tschechien</v>
      </c>
      <c r="B71" s="5"/>
      <c r="C71" s="127" t="str">
        <f>VLOOKUP("&lt;Zeilentitel_44.9&gt;",Uebersetzungen!$B$4:$E$88,Uebersetzungen!$B$2+1,FALSE)</f>
        <v>einzeln ausgewiesen</v>
      </c>
      <c r="D71" s="98"/>
      <c r="E71" s="99"/>
      <c r="F71" s="100"/>
      <c r="G71" s="29"/>
      <c r="H71" s="98"/>
      <c r="I71" s="99"/>
      <c r="J71" s="100"/>
      <c r="K71" s="96"/>
    </row>
    <row r="72" spans="1:11" x14ac:dyDescent="0.2">
      <c r="A72" s="24" t="str">
        <f>VLOOKUP("&lt;T13Zeilentitel_60&gt;",Uebersetzungen!$B$4:$E$588,Uebersetzungen!$B$2+1,FALSE)</f>
        <v>Türkei</v>
      </c>
      <c r="B72" s="5"/>
      <c r="C72" s="127" t="str">
        <f>VLOOKUP("&lt;Zeilentitel_44.7&gt;",Uebersetzungen!$B$4:$E$88,Uebersetzungen!$B$2+1,FALSE)</f>
        <v>Südosteuropa</v>
      </c>
      <c r="D72" s="98"/>
      <c r="E72" s="99"/>
      <c r="F72" s="100"/>
      <c r="G72" s="29"/>
      <c r="H72" s="98"/>
      <c r="I72" s="99"/>
      <c r="J72" s="100"/>
      <c r="K72" s="96"/>
    </row>
    <row r="73" spans="1:11" x14ac:dyDescent="0.2">
      <c r="A73" s="24" t="str">
        <f>VLOOKUP("&lt;T13Zeilentitel_61&gt;",Uebersetzungen!$B$4:$E$588,Uebersetzungen!$B$2+1,FALSE)</f>
        <v>Übriges Afrika</v>
      </c>
      <c r="B73" s="5"/>
      <c r="C73" s="127" t="str">
        <f>VLOOKUP("&lt;Zeilentitel_44.6&gt;",Uebersetzungen!$B$4:$E$88,Uebersetzungen!$B$2+1,FALSE)</f>
        <v>Afrikanischer Kontinent</v>
      </c>
      <c r="D73" s="98"/>
      <c r="E73" s="99"/>
      <c r="F73" s="100"/>
      <c r="G73" s="29"/>
      <c r="H73" s="98"/>
      <c r="I73" s="99"/>
      <c r="J73" s="100"/>
      <c r="K73" s="96"/>
    </row>
    <row r="74" spans="1:11" x14ac:dyDescent="0.2">
      <c r="A74" s="24" t="str">
        <f>VLOOKUP("&lt;T13Zeilentitel_62&gt;",Uebersetzungen!$B$4:$E$588,Uebersetzungen!$B$2+1,FALSE)</f>
        <v>Übriges Europa</v>
      </c>
      <c r="B74" s="5"/>
      <c r="C74" s="127" t="str">
        <f>VLOOKUP("&lt;Zeilentitel_44.2&gt;",Uebersetzungen!$B$4:$E$88,Uebersetzungen!$B$2+1,FALSE)</f>
        <v>übriges West- und Nordeuropa</v>
      </c>
      <c r="D74" s="98"/>
      <c r="E74" s="99"/>
      <c r="F74" s="100"/>
      <c r="G74" s="29"/>
      <c r="H74" s="98"/>
      <c r="I74" s="99"/>
      <c r="J74" s="100"/>
      <c r="K74" s="96"/>
    </row>
    <row r="75" spans="1:11" x14ac:dyDescent="0.2">
      <c r="A75" s="24" t="str">
        <f>VLOOKUP("&lt;T13Zeilentitel_63&gt;",Uebersetzungen!$B$4:$E$588,Uebersetzungen!$B$2+1,FALSE)</f>
        <v>Übriges Nordafrika</v>
      </c>
      <c r="B75" s="5"/>
      <c r="C75" s="127" t="str">
        <f>VLOOKUP("&lt;Zeilentitel_44.6&gt;",Uebersetzungen!$B$4:$E$88,Uebersetzungen!$B$2+1,FALSE)</f>
        <v>Afrikanischer Kontinent</v>
      </c>
      <c r="D75" s="98"/>
      <c r="E75" s="99"/>
      <c r="F75" s="100"/>
      <c r="G75" s="29"/>
      <c r="H75" s="98"/>
      <c r="I75" s="99"/>
      <c r="J75" s="100"/>
      <c r="K75" s="96"/>
    </row>
    <row r="76" spans="1:11" x14ac:dyDescent="0.2">
      <c r="A76" s="24" t="str">
        <f>VLOOKUP("&lt;T13Zeilentitel_64&gt;",Uebersetzungen!$B$4:$E$588,Uebersetzungen!$B$2+1,FALSE)</f>
        <v>Übriges Süd- und Ostasien</v>
      </c>
      <c r="B76" s="5"/>
      <c r="C76" s="127" t="str">
        <f>VLOOKUP("&lt;Zeilentitel_44.3&gt;",Uebersetzungen!$B$4:$E$88,Uebersetzungen!$B$2+1,FALSE)</f>
        <v>übriges Südostasien</v>
      </c>
      <c r="D76" s="98"/>
      <c r="E76" s="99"/>
      <c r="F76" s="100"/>
      <c r="G76" s="29"/>
      <c r="H76" s="98"/>
      <c r="I76" s="99"/>
      <c r="J76" s="100"/>
      <c r="K76" s="96"/>
    </row>
    <row r="77" spans="1:11" x14ac:dyDescent="0.2">
      <c r="A77" s="24" t="str">
        <f>VLOOKUP("&lt;T13Zeilentitel_65&gt;",Uebersetzungen!$B$4:$E$588,Uebersetzungen!$B$2+1,FALSE)</f>
        <v>Übriges Südamerika</v>
      </c>
      <c r="B77" s="5"/>
      <c r="C77" s="127" t="str">
        <f>VLOOKUP("&lt;Zeilentitel_44.5&gt;",Uebersetzungen!$B$4:$E$88,Uebersetzungen!$B$2+1,FALSE)</f>
        <v>übriges Zentral- und Südamerika</v>
      </c>
      <c r="D77" s="98"/>
      <c r="E77" s="99"/>
      <c r="F77" s="100"/>
      <c r="G77" s="29"/>
      <c r="H77" s="98"/>
      <c r="I77" s="99"/>
      <c r="J77" s="100"/>
      <c r="K77" s="96"/>
    </row>
    <row r="78" spans="1:11" x14ac:dyDescent="0.2">
      <c r="A78" s="24" t="str">
        <f>VLOOKUP("&lt;T13Zeilentitel_66&gt;",Uebersetzungen!$B$4:$E$588,Uebersetzungen!$B$2+1,FALSE)</f>
        <v>Übriges Westasien</v>
      </c>
      <c r="B78" s="5"/>
      <c r="C78" s="127" t="str">
        <f>VLOOKUP("&lt;Zeilentitel_44.3&gt;",Uebersetzungen!$B$4:$E$88,Uebersetzungen!$B$2+1,FALSE)</f>
        <v>übriges Südostasien</v>
      </c>
      <c r="D78" s="98"/>
      <c r="E78" s="99"/>
      <c r="F78" s="100"/>
      <c r="G78" s="29"/>
      <c r="H78" s="98"/>
      <c r="I78" s="99"/>
      <c r="J78" s="100"/>
      <c r="K78" s="96"/>
    </row>
    <row r="79" spans="1:11" x14ac:dyDescent="0.2">
      <c r="A79" s="24" t="str">
        <f>VLOOKUP("&lt;T13Zeilentitel_67&gt;",Uebersetzungen!$B$4:$E$588,Uebersetzungen!$B$2+1,FALSE)</f>
        <v>Übriges Zentralamerika, Karibik</v>
      </c>
      <c r="B79" s="5"/>
      <c r="C79" s="127" t="str">
        <f>VLOOKUP("&lt;Zeilentitel_44.5&gt;",Uebersetzungen!$B$4:$E$88,Uebersetzungen!$B$2+1,FALSE)</f>
        <v>übriges Zentral- und Südamerika</v>
      </c>
      <c r="D79" s="98"/>
      <c r="E79" s="99"/>
      <c r="F79" s="100"/>
      <c r="G79" s="29"/>
      <c r="H79" s="98"/>
      <c r="I79" s="99"/>
      <c r="J79" s="100"/>
      <c r="K79" s="96"/>
    </row>
    <row r="80" spans="1:11" x14ac:dyDescent="0.2">
      <c r="A80" s="24" t="str">
        <f>VLOOKUP("&lt;T13Zeilentitel_68&gt;",Uebersetzungen!$B$4:$E$588,Uebersetzungen!$B$2+1,FALSE)</f>
        <v>Ukraine</v>
      </c>
      <c r="B80" s="5"/>
      <c r="C80" s="127" t="str">
        <f>VLOOKUP("&lt;Zeilentitel_44.4&gt;",Uebersetzungen!$B$4:$E$88,Uebersetzungen!$B$2+1,FALSE)</f>
        <v>übriges Osteuropa</v>
      </c>
      <c r="D80" s="98"/>
      <c r="E80" s="99"/>
      <c r="F80" s="100"/>
      <c r="G80" s="29"/>
      <c r="H80" s="98"/>
      <c r="I80" s="99"/>
      <c r="J80" s="100"/>
      <c r="K80" s="96"/>
    </row>
    <row r="81" spans="1:11" x14ac:dyDescent="0.2">
      <c r="A81" s="24" t="str">
        <f>VLOOKUP("&lt;T13Zeilentitel_69&gt;",Uebersetzungen!$B$4:$E$588,Uebersetzungen!$B$2+1,FALSE)</f>
        <v>Ungarn</v>
      </c>
      <c r="B81" s="5"/>
      <c r="C81" s="127" t="str">
        <f>VLOOKUP("&lt;Zeilentitel_44.4&gt;",Uebersetzungen!$B$4:$E$88,Uebersetzungen!$B$2+1,FALSE)</f>
        <v>übriges Osteuropa</v>
      </c>
      <c r="D81" s="98"/>
      <c r="E81" s="99"/>
      <c r="F81" s="100"/>
      <c r="G81" s="29"/>
      <c r="H81" s="98"/>
      <c r="I81" s="99"/>
      <c r="J81" s="100"/>
      <c r="K81" s="96"/>
    </row>
    <row r="82" spans="1:11" x14ac:dyDescent="0.2">
      <c r="A82" s="24" t="str">
        <f>VLOOKUP("&lt;T13Zeilentitel_70&gt;",Uebersetzungen!$B$4:$E$588,Uebersetzungen!$B$2+1,FALSE)</f>
        <v>Vereinigte Arabische Emirate</v>
      </c>
      <c r="B82" s="5"/>
      <c r="C82" s="127" t="str">
        <f>VLOOKUP("&lt;Zeilentitel_44.9&gt;",Uebersetzungen!$B$4:$E$88,Uebersetzungen!$B$2+1,FALSE)</f>
        <v>einzeln ausgewiesen</v>
      </c>
      <c r="D82" s="98"/>
      <c r="E82" s="99"/>
      <c r="F82" s="100"/>
      <c r="G82" s="29"/>
      <c r="H82" s="98"/>
      <c r="I82" s="99"/>
      <c r="J82" s="100"/>
      <c r="K82" s="96"/>
    </row>
    <row r="83" spans="1:11" x14ac:dyDescent="0.2">
      <c r="A83" s="24" t="str">
        <f>VLOOKUP("&lt;T13Zeilentitel_71&gt;",Uebersetzungen!$B$4:$E$588,Uebersetzungen!$B$2+1,FALSE)</f>
        <v>Vereinigte Staaten</v>
      </c>
      <c r="B83" s="5"/>
      <c r="C83" s="127" t="str">
        <f>VLOOKUP("&lt;Zeilentitel_44.9&gt;",Uebersetzungen!$B$4:$E$88,Uebersetzungen!$B$2+1,FALSE)</f>
        <v>einzeln ausgewiesen</v>
      </c>
      <c r="D83" s="98"/>
      <c r="E83" s="99"/>
      <c r="F83" s="100"/>
      <c r="G83" s="29"/>
      <c r="H83" s="98"/>
      <c r="I83" s="99"/>
      <c r="J83" s="100"/>
      <c r="K83" s="96"/>
    </row>
    <row r="84" spans="1:11" x14ac:dyDescent="0.2">
      <c r="A84" s="24" t="str">
        <f>VLOOKUP("&lt;T13Zeilentitel_72&gt;",Uebersetzungen!$B$4:$E$588,Uebersetzungen!$B$2+1,FALSE)</f>
        <v>Vereinigtes Königreich</v>
      </c>
      <c r="B84" s="5"/>
      <c r="C84" s="127" t="str">
        <f>VLOOKUP("&lt;Zeilentitel_44.9&gt;",Uebersetzungen!$B$4:$E$88,Uebersetzungen!$B$2+1,FALSE)</f>
        <v>einzeln ausgewiesen</v>
      </c>
      <c r="D84" s="98"/>
      <c r="E84" s="99"/>
      <c r="F84" s="100"/>
      <c r="G84" s="29"/>
      <c r="H84" s="98"/>
      <c r="I84" s="99"/>
      <c r="J84" s="100"/>
      <c r="K84" s="96"/>
    </row>
    <row r="85" spans="1:11" x14ac:dyDescent="0.2">
      <c r="A85" s="24" t="str">
        <f>VLOOKUP("&lt;T13Zeilentitel_73&gt;",Uebersetzungen!$B$4:$E$588,Uebersetzungen!$B$2+1,FALSE)</f>
        <v>Zypern</v>
      </c>
      <c r="B85" s="5"/>
      <c r="C85" s="127" t="str">
        <f>VLOOKUP("&lt;Zeilentitel_44.7&gt;",Uebersetzungen!$B$4:$E$88,Uebersetzungen!$B$2+1,FALSE)</f>
        <v>Südosteuropa</v>
      </c>
      <c r="D85" s="98"/>
      <c r="E85" s="99"/>
      <c r="F85" s="100"/>
      <c r="G85" s="29"/>
      <c r="H85" s="98"/>
      <c r="I85" s="99"/>
      <c r="J85" s="100"/>
      <c r="K85" s="96"/>
    </row>
    <row r="86" spans="1:11" ht="13.5" thickBot="1" x14ac:dyDescent="0.25">
      <c r="A86" s="124"/>
      <c r="B86" s="6"/>
      <c r="C86" s="129"/>
      <c r="D86" s="98"/>
      <c r="E86" s="99"/>
      <c r="F86" s="100"/>
      <c r="G86" s="29"/>
      <c r="H86" s="98"/>
      <c r="I86" s="99"/>
      <c r="J86" s="100"/>
      <c r="K86" s="96"/>
    </row>
    <row r="87" spans="1:11" x14ac:dyDescent="0.2">
      <c r="D87" s="96"/>
      <c r="E87" s="96"/>
      <c r="F87" s="96"/>
      <c r="G87" s="96"/>
      <c r="H87" s="96"/>
      <c r="I87" s="96"/>
      <c r="J87" s="96"/>
      <c r="K87" s="96"/>
    </row>
    <row r="88" spans="1:11" ht="12.75" customHeight="1" x14ac:dyDescent="0.2">
      <c r="A88" s="4" t="str">
        <f>VLOOKUP("&lt;Aktualisierung&gt;",Uebersetzungen!$B$4:$E$97,Uebersetzungen!$B$2+1,FALSE)</f>
        <v>Letztmals aktualisiert am: 10.03.2025</v>
      </c>
    </row>
    <row r="89" spans="1:11" x14ac:dyDescent="0.2">
      <c r="A89" s="4" t="str">
        <f>VLOOKUP("&lt;Legende_2&gt;",Uebersetzungen!$B$4:$E$97,Uebersetzungen!$B$2+1,FALSE)</f>
        <v>Kontakt: Luzius Stricker, 081 257 23 74, luzius.stricker@awt.gr.ch</v>
      </c>
    </row>
    <row r="90" spans="1:11" x14ac:dyDescent="0.2">
      <c r="A90" s="31"/>
    </row>
    <row r="92" spans="1:11" x14ac:dyDescent="0.2">
      <c r="A92" s="4" t="s">
        <v>47</v>
      </c>
    </row>
  </sheetData>
  <sheetProtection sheet="1" objects="1" scenarios="1"/>
  <mergeCells count="1">
    <mergeCell ref="A7:D7"/>
  </mergeCells>
  <pageMargins left="0.70866141732283472" right="0.70866141732283472" top="0.78740157480314965" bottom="0.78740157480314965" header="0.31496062992125984" footer="0.31496062992125984"/>
  <pageSetup paperSize="9" scale="60" orientation="portrait" r:id="rId1"/>
  <rowBreaks count="1" manualBreakCount="1">
    <brk id="42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Option Button 1">
              <controlPr defaultSize="0" autoFill="0" autoLine="0" autoPict="0">
                <anchor moveWithCells="1">
                  <from>
                    <xdr:col>3</xdr:col>
                    <xdr:colOff>523875</xdr:colOff>
                    <xdr:row>1</xdr:row>
                    <xdr:rowOff>114300</xdr:rowOff>
                  </from>
                  <to>
                    <xdr:col>4</xdr:col>
                    <xdr:colOff>714375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Option Button 2">
              <controlPr defaultSize="0" autoFill="0" autoLine="0" autoPict="0">
                <anchor moveWithCells="1">
                  <from>
                    <xdr:col>3</xdr:col>
                    <xdr:colOff>523875</xdr:colOff>
                    <xdr:row>2</xdr:row>
                    <xdr:rowOff>104775</xdr:rowOff>
                  </from>
                  <to>
                    <xdr:col>5</xdr:col>
                    <xdr:colOff>238125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Option Button 3">
              <controlPr defaultSize="0" autoFill="0" autoLine="0" autoPict="0">
                <anchor moveWithCells="1">
                  <from>
                    <xdr:col>3</xdr:col>
                    <xdr:colOff>523875</xdr:colOff>
                    <xdr:row>3</xdr:row>
                    <xdr:rowOff>66675</xdr:rowOff>
                  </from>
                  <to>
                    <xdr:col>4</xdr:col>
                    <xdr:colOff>714375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7"/>
  <dimension ref="A1:F337"/>
  <sheetViews>
    <sheetView topLeftCell="A185" workbookViewId="0">
      <selection activeCell="G219" sqref="G219"/>
    </sheetView>
  </sheetViews>
  <sheetFormatPr baseColWidth="10" defaultColWidth="12.5703125" defaultRowHeight="12.75" x14ac:dyDescent="0.2"/>
  <cols>
    <col min="1" max="1" width="8.5703125" style="70" bestFit="1" customWidth="1"/>
    <col min="2" max="2" width="17.7109375" style="70" bestFit="1" customWidth="1"/>
    <col min="3" max="3" width="53" style="70" customWidth="1"/>
    <col min="4" max="4" width="47.5703125" style="70" bestFit="1" customWidth="1"/>
    <col min="5" max="5" width="42.28515625" style="70" customWidth="1"/>
    <col min="6" max="16384" width="12.5703125" style="70"/>
  </cols>
  <sheetData>
    <row r="1" spans="1:6" x14ac:dyDescent="0.2">
      <c r="A1" s="91" t="s">
        <v>48</v>
      </c>
      <c r="B1" s="91" t="s">
        <v>49</v>
      </c>
      <c r="C1" s="91" t="s">
        <v>50</v>
      </c>
      <c r="D1" s="91" t="s">
        <v>51</v>
      </c>
      <c r="E1" s="91" t="s">
        <v>52</v>
      </c>
      <c r="F1" s="90"/>
    </row>
    <row r="2" spans="1:6" ht="13.5" thickBot="1" x14ac:dyDescent="0.25">
      <c r="A2" s="89" t="s">
        <v>53</v>
      </c>
      <c r="B2" s="92">
        <v>1</v>
      </c>
      <c r="C2" s="92"/>
      <c r="D2" s="90"/>
      <c r="E2" s="90"/>
      <c r="F2" s="90"/>
    </row>
    <row r="3" spans="1:6" s="109" customFormat="1" ht="26.25" thickBot="1" x14ac:dyDescent="0.25">
      <c r="A3" s="107"/>
      <c r="B3" s="108" t="s">
        <v>299</v>
      </c>
      <c r="C3" s="111">
        <v>2025</v>
      </c>
      <c r="D3" s="110">
        <f>C3-2000</f>
        <v>25</v>
      </c>
    </row>
    <row r="4" spans="1:6" x14ac:dyDescent="0.2">
      <c r="A4" s="89"/>
      <c r="B4" s="112" t="s">
        <v>54</v>
      </c>
      <c r="C4" s="112" t="s">
        <v>55</v>
      </c>
      <c r="D4" s="112" t="s">
        <v>56</v>
      </c>
      <c r="E4" s="112" t="s">
        <v>57</v>
      </c>
      <c r="F4" s="90"/>
    </row>
    <row r="5" spans="1:6" x14ac:dyDescent="0.2">
      <c r="A5" s="89"/>
      <c r="B5" s="88" t="s">
        <v>300</v>
      </c>
      <c r="C5" s="88" t="s">
        <v>301</v>
      </c>
      <c r="D5" s="88" t="s">
        <v>302</v>
      </c>
      <c r="E5" s="88" t="s">
        <v>303</v>
      </c>
      <c r="F5" s="90"/>
    </row>
    <row r="6" spans="1:6" ht="51" x14ac:dyDescent="0.2">
      <c r="A6" s="89"/>
      <c r="B6" s="115" t="s">
        <v>304</v>
      </c>
      <c r="C6" s="114" t="s">
        <v>305</v>
      </c>
      <c r="D6" s="114" t="s">
        <v>306</v>
      </c>
      <c r="E6" s="114" t="s">
        <v>307</v>
      </c>
      <c r="F6" s="90"/>
    </row>
    <row r="7" spans="1:6" ht="25.5" x14ac:dyDescent="0.2">
      <c r="A7" s="89" t="s">
        <v>58</v>
      </c>
      <c r="B7" s="112" t="s">
        <v>96</v>
      </c>
      <c r="C7" s="112" t="str">
        <f>"Hotel- und Kurbetriebe: Logiernächte im Januar "&amp;$C$3&amp;", nach Destinationen"</f>
        <v>Hotel- und Kurbetriebe: Logiernächte im Januar 2025, nach Destinationen</v>
      </c>
      <c r="D7" s="112" t="str">
        <f>"Manaschis d' hotel e da cura: pernottaziuns il schaner "&amp;$C$3&amp;", tenor destinaziuns"</f>
        <v>Manaschis d' hotel e da cura: pernottaziuns il schaner 2025, tenor destinaziuns</v>
      </c>
      <c r="E7" s="112" t="str">
        <f>"Alberghi e stabilimenti di cura: pernottamenti nel mese di gennaio "&amp;$C$3&amp;", per destinazione"</f>
        <v>Alberghi e stabilimenti di cura: pernottamenti nel mese di gennaio 2025, per destinazione</v>
      </c>
      <c r="F7" s="90"/>
    </row>
    <row r="8" spans="1:6" ht="25.5" x14ac:dyDescent="0.2">
      <c r="A8" s="89"/>
      <c r="B8" s="112" t="s">
        <v>97</v>
      </c>
      <c r="C8" s="112" t="str">
        <f>"Hotel- und Kurbetriebe: Logiernächte im Januar "&amp;$C$3&amp;", nach Herkunft"</f>
        <v>Hotel- und Kurbetriebe: Logiernächte im Januar 2025, nach Herkunft</v>
      </c>
      <c r="D8" s="112" t="str">
        <f>"Manaschis d' hotel e da cura: pernottaziuns il schaner "&amp;$C$3&amp;", tenor la derivanza"</f>
        <v>Manaschis d' hotel e da cura: pernottaziuns il schaner 2025, tenor la derivanza</v>
      </c>
      <c r="E8" s="112" t="str">
        <f>"Alberghi e stabilimenti di cura: pernottamenti nel mese di gennaio "&amp;$C$3&amp;", per provenienza"</f>
        <v>Alberghi e stabilimenti di cura: pernottamenti nel mese di gennaio 2025, per provenienza</v>
      </c>
      <c r="F8" s="90"/>
    </row>
    <row r="9" spans="1:6" ht="38.25" x14ac:dyDescent="0.2">
      <c r="A9" s="89"/>
      <c r="B9" s="112" t="s">
        <v>98</v>
      </c>
      <c r="C9" s="112" t="str">
        <f>"Hotel- und Kurbetriebe: Logiernächte im Januar "&amp;$C$3&amp;", nach Schweizer Tourismusregionen"</f>
        <v>Hotel- und Kurbetriebe: Logiernächte im Januar 2025, nach Schweizer Tourismusregionen</v>
      </c>
      <c r="D9" s="112" t="str">
        <f>"Manaschis d' hotel e da cura: pernottaziuns il schaner "&amp;$C$3&amp;", tenor regiuns turisticas svizras"</f>
        <v>Manaschis d' hotel e da cura: pernottaziuns il schaner 2025, tenor regiuns turisticas svizras</v>
      </c>
      <c r="E9" s="112" t="str">
        <f>"Alberghi e stabilimenti di cura: pernottamenti nel mese di gennaio "&amp;$C$3&amp;", per regioni turistiche svizzere"</f>
        <v>Alberghi e stabilimenti di cura: pernottamenti nel mese di gennaio 2025, per regioni turistiche svizzere</v>
      </c>
      <c r="F9" s="90"/>
    </row>
    <row r="10" spans="1:6" x14ac:dyDescent="0.2">
      <c r="A10" s="89"/>
      <c r="B10" s="89"/>
      <c r="C10" s="89"/>
      <c r="D10" s="89"/>
      <c r="E10" s="89"/>
      <c r="F10" s="90"/>
    </row>
    <row r="11" spans="1:6" x14ac:dyDescent="0.2">
      <c r="A11" s="89" t="s">
        <v>59</v>
      </c>
      <c r="B11" s="112" t="s">
        <v>60</v>
      </c>
      <c r="C11" s="112" t="str">
        <f>"Januar "&amp;$C$3</f>
        <v>Januar 2025</v>
      </c>
      <c r="D11" s="112" t="str">
        <f>"Schaner "&amp;$C$3</f>
        <v>Schaner 2025</v>
      </c>
      <c r="E11" s="112" t="str">
        <f>"Gennaio "&amp;$C$3</f>
        <v>Gennaio 2025</v>
      </c>
      <c r="F11" s="90"/>
    </row>
    <row r="12" spans="1:6" x14ac:dyDescent="0.2">
      <c r="A12" s="89"/>
      <c r="B12" s="112" t="s">
        <v>61</v>
      </c>
      <c r="C12" s="112" t="str">
        <f>"Januar "&amp;$C$3-1</f>
        <v>Januar 2024</v>
      </c>
      <c r="D12" s="112" t="str">
        <f>"Schaner "&amp;$C$3-1</f>
        <v>Schaner 2024</v>
      </c>
      <c r="E12" s="112" t="str">
        <f>"Gennaio "&amp;$C$3-1</f>
        <v>Gennaio 2024</v>
      </c>
      <c r="F12" s="90"/>
    </row>
    <row r="13" spans="1:6" x14ac:dyDescent="0.2">
      <c r="A13" s="89"/>
      <c r="B13" s="112" t="s">
        <v>62</v>
      </c>
      <c r="C13" s="112" t="str">
        <f>"Veränderung "&amp;$D$3&amp;"/"&amp;$D$3-1&amp;" in %"</f>
        <v>Veränderung 25/24 in %</v>
      </c>
      <c r="D13" s="112" t="str">
        <f>"Midament "&amp;$D$3&amp;"/"&amp;$D$3-1&amp;" in %"</f>
        <v>Midament 25/24 in %</v>
      </c>
      <c r="E13" s="112" t="str">
        <f>"Variazione "&amp;$D$3&amp;"/"&amp;$D$3-1&amp;" in %"</f>
        <v>Variazione 25/24 in %</v>
      </c>
      <c r="F13" s="90"/>
    </row>
    <row r="14" spans="1:6" ht="38.25" x14ac:dyDescent="0.2">
      <c r="A14" s="89"/>
      <c r="B14" s="112" t="s">
        <v>126</v>
      </c>
      <c r="C14" s="112" t="s">
        <v>44</v>
      </c>
      <c r="D14" s="112" t="s">
        <v>131</v>
      </c>
      <c r="E14" s="113" t="s">
        <v>132</v>
      </c>
      <c r="F14" s="90"/>
    </row>
    <row r="15" spans="1:6" x14ac:dyDescent="0.2">
      <c r="A15" s="89"/>
      <c r="B15" s="112" t="s">
        <v>127</v>
      </c>
      <c r="C15" s="112"/>
      <c r="D15" s="112"/>
      <c r="E15" s="112"/>
      <c r="F15" s="90"/>
    </row>
    <row r="16" spans="1:6" x14ac:dyDescent="0.2">
      <c r="A16" s="89"/>
      <c r="B16" s="112" t="s">
        <v>128</v>
      </c>
      <c r="C16" s="112"/>
      <c r="D16" s="112"/>
      <c r="E16" s="112"/>
      <c r="F16" s="90"/>
    </row>
    <row r="17" spans="1:6" x14ac:dyDescent="0.2">
      <c r="A17" s="89"/>
      <c r="B17" s="112" t="s">
        <v>129</v>
      </c>
      <c r="C17" s="112" t="str">
        <f>"Veränderung "&amp;$D$3&amp;"/"&amp;$D$3-1&amp;" in %"</f>
        <v>Veränderung 25/24 in %</v>
      </c>
      <c r="D17" s="112" t="str">
        <f>"Midament "&amp;$D$3&amp;"/"&amp;$D$3-1&amp;" in %"</f>
        <v>Midament 25/24 in %</v>
      </c>
      <c r="E17" s="112" t="str">
        <f>"Variazione "&amp;$D$3&amp;"/"&amp;$D$3-1&amp;" in %"</f>
        <v>Variazione 25/24 in %</v>
      </c>
      <c r="F17" s="90"/>
    </row>
    <row r="18" spans="1:6" ht="38.25" x14ac:dyDescent="0.2">
      <c r="A18" s="89"/>
      <c r="B18" s="112" t="s">
        <v>130</v>
      </c>
      <c r="C18" s="112" t="s">
        <v>44</v>
      </c>
      <c r="D18" s="112" t="s">
        <v>131</v>
      </c>
      <c r="E18" s="113" t="s">
        <v>132</v>
      </c>
      <c r="F18" s="90"/>
    </row>
    <row r="19" spans="1:6" x14ac:dyDescent="0.2">
      <c r="A19" s="89"/>
      <c r="B19" s="90"/>
      <c r="C19" s="90"/>
      <c r="D19" s="90"/>
      <c r="E19" s="90"/>
      <c r="F19" s="90"/>
    </row>
    <row r="20" spans="1:6" x14ac:dyDescent="0.2">
      <c r="A20" s="89" t="s">
        <v>58</v>
      </c>
      <c r="B20" s="70" t="s">
        <v>63</v>
      </c>
      <c r="C20" s="70" t="s">
        <v>24</v>
      </c>
      <c r="D20" s="70" t="s">
        <v>161</v>
      </c>
      <c r="E20" s="70" t="s">
        <v>161</v>
      </c>
      <c r="F20" s="90"/>
    </row>
    <row r="21" spans="1:6" x14ac:dyDescent="0.2">
      <c r="A21" s="90"/>
      <c r="B21" s="70" t="s">
        <v>64</v>
      </c>
      <c r="C21" s="70" t="s">
        <v>7</v>
      </c>
      <c r="D21" s="70" t="s">
        <v>7</v>
      </c>
      <c r="E21" s="70" t="s">
        <v>7</v>
      </c>
      <c r="F21" s="90"/>
    </row>
    <row r="22" spans="1:6" x14ac:dyDescent="0.2">
      <c r="A22" s="90"/>
      <c r="B22" s="70" t="s">
        <v>65</v>
      </c>
      <c r="C22" s="70" t="s">
        <v>26</v>
      </c>
      <c r="D22" s="70" t="s">
        <v>26</v>
      </c>
      <c r="E22" s="70" t="s">
        <v>26</v>
      </c>
      <c r="F22" s="90"/>
    </row>
    <row r="23" spans="1:6" x14ac:dyDescent="0.2">
      <c r="A23" s="90"/>
      <c r="B23" s="70" t="s">
        <v>66</v>
      </c>
      <c r="C23" s="70" t="s">
        <v>12</v>
      </c>
      <c r="D23" s="70" t="s">
        <v>162</v>
      </c>
      <c r="E23" s="70" t="s">
        <v>162</v>
      </c>
      <c r="F23" s="90"/>
    </row>
    <row r="24" spans="1:6" x14ac:dyDescent="0.2">
      <c r="A24" s="90"/>
      <c r="B24" s="70" t="s">
        <v>67</v>
      </c>
      <c r="C24" s="70" t="s">
        <v>2</v>
      </c>
      <c r="D24" s="70" t="s">
        <v>2</v>
      </c>
      <c r="E24" s="70" t="s">
        <v>2</v>
      </c>
      <c r="F24" s="90"/>
    </row>
    <row r="25" spans="1:6" x14ac:dyDescent="0.2">
      <c r="A25" s="90"/>
      <c r="B25" s="70" t="s">
        <v>68</v>
      </c>
      <c r="C25" s="70" t="s">
        <v>0</v>
      </c>
      <c r="D25" s="70" t="s">
        <v>0</v>
      </c>
      <c r="E25" s="70" t="s">
        <v>0</v>
      </c>
      <c r="F25" s="90"/>
    </row>
    <row r="26" spans="1:6" x14ac:dyDescent="0.2">
      <c r="A26" s="90"/>
      <c r="B26" s="70" t="s">
        <v>69</v>
      </c>
      <c r="C26" s="70" t="s">
        <v>8</v>
      </c>
      <c r="D26" s="70" t="s">
        <v>8</v>
      </c>
      <c r="E26" s="70" t="s">
        <v>8</v>
      </c>
      <c r="F26" s="90"/>
    </row>
    <row r="27" spans="1:6" x14ac:dyDescent="0.2">
      <c r="A27" s="90"/>
      <c r="B27" s="70" t="s">
        <v>70</v>
      </c>
      <c r="C27" s="70" t="s">
        <v>28</v>
      </c>
      <c r="D27" s="70" t="s">
        <v>28</v>
      </c>
      <c r="E27" s="70" t="s">
        <v>28</v>
      </c>
      <c r="F27" s="90"/>
    </row>
    <row r="28" spans="1:6" x14ac:dyDescent="0.2">
      <c r="A28" s="90"/>
      <c r="B28" s="70" t="s">
        <v>71</v>
      </c>
      <c r="C28" s="70" t="s">
        <v>27</v>
      </c>
      <c r="D28" s="70" t="s">
        <v>27</v>
      </c>
      <c r="E28" s="70" t="s">
        <v>27</v>
      </c>
      <c r="F28" s="90"/>
    </row>
    <row r="29" spans="1:6" x14ac:dyDescent="0.2">
      <c r="A29" s="90"/>
      <c r="B29" s="70" t="s">
        <v>72</v>
      </c>
      <c r="C29" s="70" t="s">
        <v>1</v>
      </c>
      <c r="D29" s="70" t="s">
        <v>1</v>
      </c>
      <c r="E29" s="70" t="s">
        <v>1</v>
      </c>
      <c r="F29" s="90"/>
    </row>
    <row r="30" spans="1:6" x14ac:dyDescent="0.2">
      <c r="A30" s="90"/>
      <c r="B30" s="70" t="s">
        <v>73</v>
      </c>
      <c r="C30" s="70" t="s">
        <v>3</v>
      </c>
      <c r="D30" s="70" t="s">
        <v>3</v>
      </c>
      <c r="E30" s="70" t="s">
        <v>3</v>
      </c>
      <c r="F30" s="90"/>
    </row>
    <row r="31" spans="1:6" x14ac:dyDescent="0.2">
      <c r="A31" s="90"/>
      <c r="B31" s="70" t="s">
        <v>74</v>
      </c>
      <c r="C31" s="70" t="s">
        <v>4</v>
      </c>
      <c r="D31" s="70" t="s">
        <v>4</v>
      </c>
      <c r="E31" s="70" t="s">
        <v>4</v>
      </c>
      <c r="F31" s="90"/>
    </row>
    <row r="32" spans="1:6" x14ac:dyDescent="0.2">
      <c r="A32" s="90"/>
      <c r="B32" s="70" t="s">
        <v>75</v>
      </c>
      <c r="C32" s="70" t="s">
        <v>11</v>
      </c>
      <c r="D32" s="70" t="s">
        <v>11</v>
      </c>
      <c r="E32" s="70" t="s">
        <v>11</v>
      </c>
      <c r="F32" s="90"/>
    </row>
    <row r="33" spans="1:6" x14ac:dyDescent="0.2">
      <c r="A33" s="90"/>
      <c r="B33" s="70" t="s">
        <v>76</v>
      </c>
      <c r="C33" s="70" t="s">
        <v>45</v>
      </c>
      <c r="D33" s="70" t="s">
        <v>45</v>
      </c>
      <c r="E33" s="70" t="s">
        <v>45</v>
      </c>
      <c r="F33" s="90"/>
    </row>
    <row r="34" spans="1:6" x14ac:dyDescent="0.2">
      <c r="A34" s="90"/>
      <c r="B34" s="70" t="s">
        <v>77</v>
      </c>
      <c r="C34" s="70" t="s">
        <v>25</v>
      </c>
      <c r="D34" s="70" t="s">
        <v>25</v>
      </c>
      <c r="E34" s="70" t="s">
        <v>25</v>
      </c>
      <c r="F34" s="90"/>
    </row>
    <row r="35" spans="1:6" x14ac:dyDescent="0.2">
      <c r="A35" s="90"/>
      <c r="B35" s="70" t="s">
        <v>78</v>
      </c>
      <c r="C35" s="70" t="s">
        <v>5</v>
      </c>
      <c r="D35" s="70" t="s">
        <v>5</v>
      </c>
      <c r="E35" s="70" t="s">
        <v>5</v>
      </c>
      <c r="F35" s="90"/>
    </row>
    <row r="36" spans="1:6" x14ac:dyDescent="0.2">
      <c r="A36" s="90"/>
      <c r="B36" s="70" t="s">
        <v>79</v>
      </c>
      <c r="C36" s="70" t="s">
        <v>9</v>
      </c>
      <c r="D36" s="70" t="s">
        <v>9</v>
      </c>
      <c r="E36" s="70" t="s">
        <v>9</v>
      </c>
      <c r="F36" s="90"/>
    </row>
    <row r="37" spans="1:6" x14ac:dyDescent="0.2">
      <c r="A37" s="90"/>
      <c r="B37" s="70" t="s">
        <v>80</v>
      </c>
      <c r="C37" s="70" t="s">
        <v>6</v>
      </c>
      <c r="D37" s="70" t="s">
        <v>6</v>
      </c>
      <c r="E37" s="70" t="s">
        <v>6</v>
      </c>
      <c r="F37" s="90"/>
    </row>
    <row r="38" spans="1:6" x14ac:dyDescent="0.2">
      <c r="A38" s="90"/>
      <c r="B38" s="70" t="s">
        <v>81</v>
      </c>
      <c r="C38" s="70" t="s">
        <v>10</v>
      </c>
      <c r="D38" s="70" t="s">
        <v>150</v>
      </c>
      <c r="E38" s="70" t="s">
        <v>160</v>
      </c>
      <c r="F38" s="90"/>
    </row>
    <row r="39" spans="1:6" x14ac:dyDescent="0.2">
      <c r="A39" s="90"/>
      <c r="B39" s="70" t="s">
        <v>82</v>
      </c>
      <c r="C39" s="70" t="s">
        <v>13</v>
      </c>
      <c r="D39" s="70" t="s">
        <v>137</v>
      </c>
      <c r="E39" s="70" t="s">
        <v>151</v>
      </c>
      <c r="F39" s="90"/>
    </row>
    <row r="40" spans="1:6" x14ac:dyDescent="0.2">
      <c r="A40" s="90"/>
      <c r="B40" s="70" t="s">
        <v>83</v>
      </c>
      <c r="C40" s="70" t="s">
        <v>14</v>
      </c>
      <c r="D40" s="70" t="s">
        <v>138</v>
      </c>
      <c r="E40" s="70" t="s">
        <v>138</v>
      </c>
      <c r="F40" s="90"/>
    </row>
    <row r="41" spans="1:6" x14ac:dyDescent="0.2">
      <c r="A41" s="90"/>
      <c r="B41" s="70" t="s">
        <v>84</v>
      </c>
      <c r="C41" s="70" t="s">
        <v>40</v>
      </c>
      <c r="D41" s="70" t="s">
        <v>145</v>
      </c>
      <c r="E41" s="70" t="s">
        <v>156</v>
      </c>
      <c r="F41" s="90"/>
    </row>
    <row r="42" spans="1:6" x14ac:dyDescent="0.2">
      <c r="A42" s="90"/>
      <c r="B42" s="70" t="s">
        <v>85</v>
      </c>
      <c r="C42" s="70" t="s">
        <v>23</v>
      </c>
      <c r="D42" s="70" t="s">
        <v>144</v>
      </c>
      <c r="E42" s="70" t="s">
        <v>155</v>
      </c>
      <c r="F42" s="90"/>
    </row>
    <row r="43" spans="1:6" x14ac:dyDescent="0.2">
      <c r="A43" s="90"/>
      <c r="B43" s="70" t="s">
        <v>86</v>
      </c>
      <c r="C43" s="70" t="s">
        <v>17</v>
      </c>
      <c r="D43" s="70" t="s">
        <v>143</v>
      </c>
      <c r="E43" s="70" t="s">
        <v>154</v>
      </c>
      <c r="F43" s="90"/>
    </row>
    <row r="44" spans="1:6" x14ac:dyDescent="0.2">
      <c r="A44" s="90"/>
      <c r="B44" s="70" t="s">
        <v>87</v>
      </c>
      <c r="C44" s="70" t="s">
        <v>15</v>
      </c>
      <c r="D44" s="70" t="s">
        <v>142</v>
      </c>
      <c r="E44" s="70" t="s">
        <v>153</v>
      </c>
      <c r="F44" s="90"/>
    </row>
    <row r="45" spans="1:6" x14ac:dyDescent="0.2">
      <c r="A45" s="90"/>
      <c r="B45" s="70" t="s">
        <v>88</v>
      </c>
      <c r="C45" s="70" t="s">
        <v>19</v>
      </c>
      <c r="D45" s="70" t="s">
        <v>141</v>
      </c>
      <c r="E45" s="70" t="s">
        <v>141</v>
      </c>
      <c r="F45" s="90"/>
    </row>
    <row r="46" spans="1:6" x14ac:dyDescent="0.2">
      <c r="A46" s="90"/>
      <c r="B46" s="70" t="s">
        <v>89</v>
      </c>
      <c r="C46" s="70" t="s">
        <v>16</v>
      </c>
      <c r="D46" s="70" t="s">
        <v>139</v>
      </c>
      <c r="E46" s="70" t="s">
        <v>139</v>
      </c>
      <c r="F46" s="90"/>
    </row>
    <row r="47" spans="1:6" x14ac:dyDescent="0.2">
      <c r="A47" s="90"/>
      <c r="B47" s="70" t="s">
        <v>99</v>
      </c>
      <c r="C47" s="70" t="s">
        <v>18</v>
      </c>
      <c r="D47" s="70" t="s">
        <v>140</v>
      </c>
      <c r="E47" s="70" t="s">
        <v>152</v>
      </c>
      <c r="F47" s="90"/>
    </row>
    <row r="48" spans="1:6" x14ac:dyDescent="0.2">
      <c r="A48" s="90"/>
      <c r="B48" s="70" t="s">
        <v>100</v>
      </c>
      <c r="C48" s="70" t="s">
        <v>308</v>
      </c>
      <c r="D48" s="70" t="s">
        <v>325</v>
      </c>
      <c r="E48" s="70" t="s">
        <v>325</v>
      </c>
      <c r="F48" s="90"/>
    </row>
    <row r="49" spans="1:6" x14ac:dyDescent="0.2">
      <c r="A49" s="90"/>
      <c r="B49" s="70" t="s">
        <v>101</v>
      </c>
      <c r="C49" s="70" t="s">
        <v>585</v>
      </c>
      <c r="D49" s="70" t="s">
        <v>585</v>
      </c>
      <c r="E49" s="70" t="s">
        <v>585</v>
      </c>
      <c r="F49" s="90"/>
    </row>
    <row r="50" spans="1:6" x14ac:dyDescent="0.2">
      <c r="A50" s="90"/>
      <c r="B50" s="70" t="s">
        <v>102</v>
      </c>
      <c r="C50" s="70" t="s">
        <v>309</v>
      </c>
      <c r="D50" s="70" t="s">
        <v>309</v>
      </c>
      <c r="E50" s="70" t="s">
        <v>326</v>
      </c>
      <c r="F50" s="90"/>
    </row>
    <row r="51" spans="1:6" x14ac:dyDescent="0.2">
      <c r="A51" s="90"/>
      <c r="B51" s="70" t="s">
        <v>103</v>
      </c>
      <c r="C51" s="70" t="s">
        <v>310</v>
      </c>
      <c r="D51" s="70" t="s">
        <v>327</v>
      </c>
      <c r="E51" s="70" t="s">
        <v>327</v>
      </c>
      <c r="F51" s="90"/>
    </row>
    <row r="52" spans="1:6" x14ac:dyDescent="0.2">
      <c r="A52" s="90"/>
      <c r="B52" s="70" t="s">
        <v>104</v>
      </c>
      <c r="C52" s="70" t="s">
        <v>20</v>
      </c>
      <c r="D52" s="70" t="s">
        <v>147</v>
      </c>
      <c r="E52" s="70" t="s">
        <v>158</v>
      </c>
      <c r="F52" s="90"/>
    </row>
    <row r="53" spans="1:6" x14ac:dyDescent="0.2">
      <c r="A53" s="90"/>
      <c r="B53" s="70" t="s">
        <v>105</v>
      </c>
      <c r="C53" s="70" t="s">
        <v>311</v>
      </c>
      <c r="D53" s="70" t="s">
        <v>311</v>
      </c>
      <c r="E53" s="70" t="s">
        <v>328</v>
      </c>
      <c r="F53" s="90"/>
    </row>
    <row r="54" spans="1:6" x14ac:dyDescent="0.2">
      <c r="A54" s="90"/>
      <c r="B54" s="70" t="s">
        <v>106</v>
      </c>
      <c r="C54" s="70" t="s">
        <v>21</v>
      </c>
      <c r="D54" s="70" t="s">
        <v>146</v>
      </c>
      <c r="E54" s="70" t="s">
        <v>157</v>
      </c>
      <c r="F54" s="90"/>
    </row>
    <row r="55" spans="1:6" x14ac:dyDescent="0.2">
      <c r="A55" s="90"/>
      <c r="B55" s="70" t="s">
        <v>107</v>
      </c>
      <c r="C55" s="70" t="s">
        <v>22</v>
      </c>
      <c r="D55" s="70" t="s">
        <v>149</v>
      </c>
      <c r="E55" s="70" t="s">
        <v>159</v>
      </c>
      <c r="F55" s="90"/>
    </row>
    <row r="56" spans="1:6" x14ac:dyDescent="0.2">
      <c r="A56" s="90"/>
      <c r="B56" s="70" t="s">
        <v>108</v>
      </c>
      <c r="C56" s="70" t="s">
        <v>312</v>
      </c>
      <c r="D56" s="70" t="s">
        <v>148</v>
      </c>
      <c r="E56" s="70" t="s">
        <v>148</v>
      </c>
      <c r="F56" s="90"/>
    </row>
    <row r="57" spans="1:6" x14ac:dyDescent="0.2">
      <c r="A57" s="90"/>
      <c r="B57" s="70" t="s">
        <v>109</v>
      </c>
      <c r="C57" s="70" t="s">
        <v>351</v>
      </c>
      <c r="D57" s="70" t="s">
        <v>357</v>
      </c>
      <c r="E57" s="70" t="s">
        <v>362</v>
      </c>
      <c r="F57" s="90"/>
    </row>
    <row r="58" spans="1:6" x14ac:dyDescent="0.2">
      <c r="A58" s="90"/>
      <c r="B58" s="70" t="s">
        <v>110</v>
      </c>
      <c r="C58" s="70" t="s">
        <v>352</v>
      </c>
      <c r="D58" s="70" t="s">
        <v>358</v>
      </c>
      <c r="E58" s="70" t="s">
        <v>358</v>
      </c>
      <c r="F58" s="90"/>
    </row>
    <row r="59" spans="1:6" x14ac:dyDescent="0.2">
      <c r="A59" s="90"/>
      <c r="B59" s="70" t="s">
        <v>111</v>
      </c>
      <c r="C59" s="70" t="s">
        <v>353</v>
      </c>
      <c r="D59" s="70" t="s">
        <v>359</v>
      </c>
      <c r="E59" s="70" t="s">
        <v>363</v>
      </c>
      <c r="F59" s="90"/>
    </row>
    <row r="60" spans="1:6" x14ac:dyDescent="0.2">
      <c r="A60" s="90"/>
      <c r="B60" s="70" t="s">
        <v>112</v>
      </c>
      <c r="C60" s="70" t="s">
        <v>354</v>
      </c>
      <c r="D60" s="70" t="s">
        <v>360</v>
      </c>
      <c r="E60" s="70" t="s">
        <v>360</v>
      </c>
      <c r="F60" s="90"/>
    </row>
    <row r="61" spans="1:6" x14ac:dyDescent="0.2">
      <c r="A61" s="90"/>
      <c r="B61" s="70" t="s">
        <v>113</v>
      </c>
      <c r="C61" s="70" t="s">
        <v>356</v>
      </c>
      <c r="D61" s="70" t="s">
        <v>356</v>
      </c>
      <c r="E61" s="70" t="s">
        <v>364</v>
      </c>
      <c r="F61" s="90"/>
    </row>
    <row r="62" spans="1:6" x14ac:dyDescent="0.2">
      <c r="A62" s="90"/>
      <c r="B62" s="70" t="s">
        <v>114</v>
      </c>
      <c r="C62" s="70" t="s">
        <v>355</v>
      </c>
      <c r="D62" s="70" t="s">
        <v>361</v>
      </c>
      <c r="E62" s="70" t="s">
        <v>365</v>
      </c>
      <c r="F62" s="90"/>
    </row>
    <row r="63" spans="1:6" x14ac:dyDescent="0.2">
      <c r="A63" s="90"/>
      <c r="B63" s="70" t="s">
        <v>115</v>
      </c>
      <c r="C63" s="70" t="s">
        <v>324</v>
      </c>
      <c r="D63" s="70" t="s">
        <v>329</v>
      </c>
      <c r="E63" s="70" t="s">
        <v>330</v>
      </c>
      <c r="F63" s="90"/>
    </row>
    <row r="64" spans="1:6" x14ac:dyDescent="0.2">
      <c r="A64" s="90"/>
      <c r="B64" s="70" t="s">
        <v>343</v>
      </c>
      <c r="C64" s="70" t="s">
        <v>313</v>
      </c>
      <c r="D64" s="70" t="s">
        <v>336</v>
      </c>
      <c r="E64" s="70" t="s">
        <v>342</v>
      </c>
      <c r="F64" s="90"/>
    </row>
    <row r="65" spans="1:6" x14ac:dyDescent="0.2">
      <c r="A65" s="90"/>
      <c r="B65" s="70" t="s">
        <v>344</v>
      </c>
      <c r="C65" s="70" t="s">
        <v>584</v>
      </c>
      <c r="D65" s="70" t="s">
        <v>586</v>
      </c>
      <c r="E65" s="70" t="s">
        <v>332</v>
      </c>
      <c r="F65" s="90"/>
    </row>
    <row r="66" spans="1:6" x14ac:dyDescent="0.2">
      <c r="A66" s="90"/>
      <c r="B66" s="70" t="s">
        <v>345</v>
      </c>
      <c r="C66" s="70" t="s">
        <v>314</v>
      </c>
      <c r="D66" s="70" t="s">
        <v>337</v>
      </c>
      <c r="E66" s="70" t="s">
        <v>587</v>
      </c>
      <c r="F66" s="90"/>
    </row>
    <row r="67" spans="1:6" x14ac:dyDescent="0.2">
      <c r="A67" s="90"/>
      <c r="B67" s="70" t="s">
        <v>346</v>
      </c>
      <c r="C67" s="70" t="s">
        <v>315</v>
      </c>
      <c r="D67" s="70" t="s">
        <v>340</v>
      </c>
      <c r="E67" s="70" t="s">
        <v>333</v>
      </c>
      <c r="F67" s="90"/>
    </row>
    <row r="68" spans="1:6" x14ac:dyDescent="0.2">
      <c r="A68" s="90"/>
      <c r="B68" s="70" t="s">
        <v>347</v>
      </c>
      <c r="C68" s="70" t="s">
        <v>316</v>
      </c>
      <c r="D68" s="70" t="s">
        <v>341</v>
      </c>
      <c r="E68" s="70" t="s">
        <v>334</v>
      </c>
      <c r="F68" s="90"/>
    </row>
    <row r="69" spans="1:6" x14ac:dyDescent="0.2">
      <c r="A69" s="90"/>
      <c r="B69" s="70" t="s">
        <v>348</v>
      </c>
      <c r="C69" s="70" t="s">
        <v>317</v>
      </c>
      <c r="D69" s="70" t="s">
        <v>338</v>
      </c>
      <c r="E69" s="70" t="s">
        <v>335</v>
      </c>
      <c r="F69" s="90"/>
    </row>
    <row r="70" spans="1:6" x14ac:dyDescent="0.2">
      <c r="A70" s="90"/>
      <c r="B70" s="70" t="s">
        <v>349</v>
      </c>
      <c r="C70" s="70" t="s">
        <v>318</v>
      </c>
      <c r="D70" s="70" t="s">
        <v>339</v>
      </c>
      <c r="E70" s="70" t="s">
        <v>331</v>
      </c>
      <c r="F70" s="90"/>
    </row>
    <row r="71" spans="1:6" x14ac:dyDescent="0.2">
      <c r="A71" s="90"/>
      <c r="B71" s="70" t="s">
        <v>350</v>
      </c>
      <c r="C71" s="70" t="s">
        <v>439</v>
      </c>
      <c r="D71" s="70" t="s">
        <v>438</v>
      </c>
      <c r="E71" s="70" t="s">
        <v>437</v>
      </c>
      <c r="F71" s="90"/>
    </row>
    <row r="72" spans="1:6" x14ac:dyDescent="0.2">
      <c r="A72" s="90"/>
      <c r="B72" s="70" t="s">
        <v>436</v>
      </c>
      <c r="C72" s="70" t="s">
        <v>440</v>
      </c>
      <c r="D72" s="70" t="s">
        <v>441</v>
      </c>
      <c r="E72" s="70" t="s">
        <v>442</v>
      </c>
      <c r="F72" s="90"/>
    </row>
    <row r="73" spans="1:6" x14ac:dyDescent="0.2">
      <c r="A73" s="90"/>
      <c r="B73" s="70" t="s">
        <v>116</v>
      </c>
      <c r="C73" s="70" t="s">
        <v>10</v>
      </c>
      <c r="D73" s="70" t="s">
        <v>150</v>
      </c>
      <c r="E73" s="70" t="s">
        <v>160</v>
      </c>
      <c r="F73" s="90"/>
    </row>
    <row r="74" spans="1:6" x14ac:dyDescent="0.2">
      <c r="A74" s="90"/>
      <c r="B74" s="70" t="s">
        <v>117</v>
      </c>
      <c r="C74" s="70" t="s">
        <v>46</v>
      </c>
      <c r="D74" s="70" t="s">
        <v>163</v>
      </c>
      <c r="E74" s="70" t="s">
        <v>164</v>
      </c>
      <c r="F74" s="90"/>
    </row>
    <row r="75" spans="1:6" x14ac:dyDescent="0.2">
      <c r="A75" s="90"/>
      <c r="B75" s="70" t="s">
        <v>118</v>
      </c>
      <c r="C75" s="70" t="s">
        <v>35</v>
      </c>
      <c r="D75" s="70" t="s">
        <v>165</v>
      </c>
      <c r="E75" s="70" t="s">
        <v>166</v>
      </c>
      <c r="F75" s="90"/>
    </row>
    <row r="76" spans="1:6" x14ac:dyDescent="0.2">
      <c r="A76" s="90"/>
      <c r="B76" s="70" t="s">
        <v>119</v>
      </c>
      <c r="C76" s="70" t="s">
        <v>36</v>
      </c>
      <c r="D76" s="70" t="s">
        <v>167</v>
      </c>
      <c r="E76" s="70" t="s">
        <v>168</v>
      </c>
      <c r="F76" s="90"/>
    </row>
    <row r="77" spans="1:6" x14ac:dyDescent="0.2">
      <c r="A77" s="90"/>
      <c r="B77" s="70" t="s">
        <v>120</v>
      </c>
      <c r="C77" s="70" t="s">
        <v>38</v>
      </c>
      <c r="D77" s="70" t="s">
        <v>169</v>
      </c>
      <c r="E77" s="70" t="s">
        <v>170</v>
      </c>
      <c r="F77" s="90"/>
    </row>
    <row r="78" spans="1:6" x14ac:dyDescent="0.2">
      <c r="A78" s="90"/>
      <c r="B78" s="70" t="s">
        <v>121</v>
      </c>
      <c r="C78" s="70" t="s">
        <v>30</v>
      </c>
      <c r="D78" s="70" t="s">
        <v>171</v>
      </c>
      <c r="E78" s="70" t="s">
        <v>172</v>
      </c>
      <c r="F78" s="90"/>
    </row>
    <row r="79" spans="1:6" x14ac:dyDescent="0.2">
      <c r="A79" s="90"/>
      <c r="B79" s="70" t="s">
        <v>122</v>
      </c>
      <c r="C79" s="70" t="s">
        <v>10</v>
      </c>
      <c r="D79" s="70" t="s">
        <v>150</v>
      </c>
      <c r="E79" s="70" t="s">
        <v>160</v>
      </c>
      <c r="F79" s="90"/>
    </row>
    <row r="80" spans="1:6" x14ac:dyDescent="0.2">
      <c r="A80" s="90"/>
      <c r="B80" s="70" t="s">
        <v>123</v>
      </c>
      <c r="C80" s="70" t="s">
        <v>37</v>
      </c>
      <c r="D80" s="70" t="s">
        <v>173</v>
      </c>
      <c r="E80" s="70" t="s">
        <v>174</v>
      </c>
      <c r="F80" s="90"/>
    </row>
    <row r="81" spans="1:6" x14ac:dyDescent="0.2">
      <c r="A81" s="90"/>
      <c r="B81" s="70" t="s">
        <v>124</v>
      </c>
      <c r="C81" s="70" t="s">
        <v>34</v>
      </c>
      <c r="D81" s="70" t="s">
        <v>175</v>
      </c>
      <c r="E81" s="70" t="s">
        <v>176</v>
      </c>
      <c r="F81" s="90"/>
    </row>
    <row r="82" spans="1:6" x14ac:dyDescent="0.2">
      <c r="A82" s="90"/>
      <c r="B82" s="70" t="s">
        <v>125</v>
      </c>
      <c r="C82" s="70" t="s">
        <v>29</v>
      </c>
      <c r="D82" s="70" t="s">
        <v>177</v>
      </c>
      <c r="E82" s="70" t="s">
        <v>178</v>
      </c>
      <c r="F82" s="90"/>
    </row>
    <row r="83" spans="1:6" x14ac:dyDescent="0.2">
      <c r="A83" s="90"/>
      <c r="B83" s="70" t="s">
        <v>319</v>
      </c>
      <c r="C83" s="70" t="s">
        <v>32</v>
      </c>
      <c r="D83" s="70" t="s">
        <v>32</v>
      </c>
      <c r="E83" s="70" t="s">
        <v>179</v>
      </c>
      <c r="F83" s="90"/>
    </row>
    <row r="84" spans="1:6" x14ac:dyDescent="0.2">
      <c r="A84" s="90"/>
      <c r="B84" s="70" t="s">
        <v>320</v>
      </c>
      <c r="C84" s="70" t="s">
        <v>41</v>
      </c>
      <c r="D84" s="70" t="s">
        <v>182</v>
      </c>
      <c r="E84" s="70" t="s">
        <v>183</v>
      </c>
      <c r="F84" s="90"/>
    </row>
    <row r="85" spans="1:6" x14ac:dyDescent="0.2">
      <c r="A85" s="90"/>
      <c r="B85" s="70" t="s">
        <v>321</v>
      </c>
      <c r="C85" s="70" t="s">
        <v>31</v>
      </c>
      <c r="D85" s="70" t="s">
        <v>180</v>
      </c>
      <c r="E85" s="70" t="s">
        <v>181</v>
      </c>
      <c r="F85" s="90"/>
    </row>
    <row r="86" spans="1:6" x14ac:dyDescent="0.2">
      <c r="A86" s="90"/>
      <c r="B86" s="70" t="s">
        <v>322</v>
      </c>
      <c r="C86" s="70" t="s">
        <v>33</v>
      </c>
      <c r="D86" s="70" t="s">
        <v>184</v>
      </c>
      <c r="E86" s="70" t="s">
        <v>185</v>
      </c>
      <c r="F86" s="90"/>
    </row>
    <row r="87" spans="1:6" x14ac:dyDescent="0.2">
      <c r="A87" s="90"/>
      <c r="B87" s="70" t="s">
        <v>323</v>
      </c>
      <c r="C87" s="70" t="s">
        <v>13</v>
      </c>
      <c r="D87" s="70" t="s">
        <v>137</v>
      </c>
      <c r="E87" s="70" t="s">
        <v>151</v>
      </c>
      <c r="F87" s="90"/>
    </row>
    <row r="88" spans="1:6" x14ac:dyDescent="0.2">
      <c r="A88" s="90"/>
      <c r="B88" s="90"/>
      <c r="C88" s="90"/>
      <c r="D88" s="90"/>
      <c r="E88" s="90"/>
      <c r="F88" s="90"/>
    </row>
    <row r="89" spans="1:6" ht="25.5" x14ac:dyDescent="0.2">
      <c r="A89" s="89"/>
      <c r="B89" s="70" t="s">
        <v>90</v>
      </c>
      <c r="C89" s="70" t="s">
        <v>39</v>
      </c>
      <c r="D89" s="70" t="s">
        <v>133</v>
      </c>
      <c r="E89" s="93" t="s">
        <v>136</v>
      </c>
      <c r="F89" s="90"/>
    </row>
    <row r="90" spans="1:6" ht="25.5" x14ac:dyDescent="0.2">
      <c r="A90" s="89"/>
      <c r="B90" s="70" t="s">
        <v>366</v>
      </c>
      <c r="C90" s="70" t="s">
        <v>367</v>
      </c>
      <c r="D90" s="70" t="s">
        <v>369</v>
      </c>
      <c r="E90" s="93" t="s">
        <v>368</v>
      </c>
      <c r="F90" s="90"/>
    </row>
    <row r="91" spans="1:6" ht="25.5" x14ac:dyDescent="0.2">
      <c r="A91" s="90"/>
      <c r="B91" s="70" t="s">
        <v>91</v>
      </c>
      <c r="C91" s="70" t="s">
        <v>43</v>
      </c>
      <c r="D91" s="70" t="s">
        <v>134</v>
      </c>
      <c r="E91" s="93" t="s">
        <v>135</v>
      </c>
      <c r="F91" s="90"/>
    </row>
    <row r="92" spans="1:6" ht="25.5" x14ac:dyDescent="0.2">
      <c r="A92" s="90"/>
      <c r="B92" s="88" t="s">
        <v>92</v>
      </c>
      <c r="C92" s="88" t="s">
        <v>611</v>
      </c>
      <c r="D92" s="88" t="s">
        <v>609</v>
      </c>
      <c r="E92" s="88" t="s">
        <v>610</v>
      </c>
      <c r="F92" s="90"/>
    </row>
    <row r="93" spans="1:6" x14ac:dyDescent="0.2">
      <c r="A93" s="90"/>
      <c r="B93" s="90"/>
      <c r="C93" s="90"/>
      <c r="D93" s="90"/>
      <c r="E93" s="90"/>
      <c r="F93" s="90"/>
    </row>
    <row r="94" spans="1:6" x14ac:dyDescent="0.2">
      <c r="A94" s="90" t="s">
        <v>59</v>
      </c>
      <c r="B94" s="70" t="s">
        <v>93</v>
      </c>
      <c r="C94" s="70" t="s">
        <v>95</v>
      </c>
      <c r="D94" s="70" t="s">
        <v>187</v>
      </c>
      <c r="E94" s="70" t="s">
        <v>188</v>
      </c>
      <c r="F94" s="90"/>
    </row>
    <row r="95" spans="1:6" x14ac:dyDescent="0.2">
      <c r="A95" s="90" t="s">
        <v>58</v>
      </c>
      <c r="B95" s="88" t="s">
        <v>94</v>
      </c>
      <c r="C95" s="94" t="s">
        <v>606</v>
      </c>
      <c r="D95" s="94" t="s">
        <v>607</v>
      </c>
      <c r="E95" s="94" t="s">
        <v>608</v>
      </c>
      <c r="F95" s="90"/>
    </row>
    <row r="96" spans="1:6" ht="13.5" thickBot="1" x14ac:dyDescent="0.25">
      <c r="A96" s="105"/>
      <c r="B96" s="105"/>
      <c r="C96" s="105"/>
      <c r="D96" s="105"/>
      <c r="E96" s="105"/>
      <c r="F96" s="90"/>
    </row>
    <row r="97" spans="1:6" x14ac:dyDescent="0.2">
      <c r="A97" s="89"/>
      <c r="B97" s="92"/>
      <c r="C97" s="92"/>
      <c r="D97" s="90"/>
      <c r="E97" s="90"/>
      <c r="F97" s="90"/>
    </row>
    <row r="98" spans="1:6" ht="25.5" x14ac:dyDescent="0.2">
      <c r="A98" s="89" t="s">
        <v>189</v>
      </c>
      <c r="B98" s="112" t="s">
        <v>190</v>
      </c>
      <c r="C98" s="112" t="str">
        <f>"Hotel- und Kurbetriebe: Logiernächte im Februar "&amp;$C$3&amp;", nach Destinationen"</f>
        <v>Hotel- und Kurbetriebe: Logiernächte im Februar 2025, nach Destinationen</v>
      </c>
      <c r="D98" s="112" t="str">
        <f>"Manaschis d' hotel e da cura: pernottaziuns il fevrer "&amp;$C$3&amp;", tenor destinaziuns"</f>
        <v>Manaschis d' hotel e da cura: pernottaziuns il fevrer 2025, tenor destinaziuns</v>
      </c>
      <c r="E98" s="112" t="str">
        <f>"Alberghi e stabilimenti di cura: pernottamenti nel mese di febbraio "&amp;$C$3&amp;", per destinazione"</f>
        <v>Alberghi e stabilimenti di cura: pernottamenti nel mese di febbraio 2025, per destinazione</v>
      </c>
      <c r="F98" s="90"/>
    </row>
    <row r="99" spans="1:6" ht="25.5" x14ac:dyDescent="0.2">
      <c r="A99" s="89"/>
      <c r="B99" s="112" t="s">
        <v>199</v>
      </c>
      <c r="C99" s="112" t="str">
        <f>"Hotel- und Kurbetriebe: Logiernächte im Februar "&amp;$C$3&amp;", nach Herkunft"</f>
        <v>Hotel- und Kurbetriebe: Logiernächte im Februar 2025, nach Herkunft</v>
      </c>
      <c r="D99" s="112" t="str">
        <f>"Manaschis d' hotel e da cura: pernottaziuns il fevrer "&amp;$C$3&amp;", tenor la derivanza"</f>
        <v>Manaschis d' hotel e da cura: pernottaziuns il fevrer 2025, tenor la derivanza</v>
      </c>
      <c r="E99" s="112" t="str">
        <f>"Alberghi e stabilimenti di cura: pernottamenti nel mese di febbraio "&amp;$C$3&amp;", per provenienza"</f>
        <v>Alberghi e stabilimenti di cura: pernottamenti nel mese di febbraio 2025, per provenienza</v>
      </c>
      <c r="F99" s="90"/>
    </row>
    <row r="100" spans="1:6" ht="38.25" x14ac:dyDescent="0.2">
      <c r="A100" s="89"/>
      <c r="B100" s="112" t="s">
        <v>200</v>
      </c>
      <c r="C100" s="112" t="str">
        <f>"Hotel- und Kurbetriebe: Logiernächte im Februar "&amp;$C$3&amp;", nach Schweizer Tourismusregionen"</f>
        <v>Hotel- und Kurbetriebe: Logiernächte im Februar 2025, nach Schweizer Tourismusregionen</v>
      </c>
      <c r="D100" s="112" t="str">
        <f>"Manaschis d' hotel e da cura: pernottaziuns il fevrer "&amp;$C$3&amp;", tenor regiuns turisticas svizras"</f>
        <v>Manaschis d' hotel e da cura: pernottaziuns il fevrer 2025, tenor regiuns turisticas svizras</v>
      </c>
      <c r="E100" s="112" t="str">
        <f>"Alberghi e stabilimenti di cura: pernottamenti nel mese di febbraio "&amp;$C$3&amp;", per regioni turistiche svizzere"</f>
        <v>Alberghi e stabilimenti di cura: pernottamenti nel mese di febbraio 2025, per regioni turistiche svizzere</v>
      </c>
      <c r="F100" s="90"/>
    </row>
    <row r="101" spans="1:6" x14ac:dyDescent="0.2">
      <c r="A101" s="89"/>
      <c r="B101" s="89"/>
      <c r="C101" s="89"/>
      <c r="D101" s="89"/>
      <c r="E101" s="89"/>
      <c r="F101" s="90"/>
    </row>
    <row r="102" spans="1:6" x14ac:dyDescent="0.2">
      <c r="A102" s="89"/>
      <c r="B102" s="112" t="s">
        <v>201</v>
      </c>
      <c r="C102" s="112" t="str">
        <f>"Februar "&amp;$C$3</f>
        <v>Februar 2025</v>
      </c>
      <c r="D102" s="112" t="str">
        <f>"Fevrer "&amp;$C$3</f>
        <v>Fevrer 2025</v>
      </c>
      <c r="E102" s="112" t="str">
        <f>"Febbraio "&amp;$C$3</f>
        <v>Febbraio 2025</v>
      </c>
      <c r="F102" s="90"/>
    </row>
    <row r="103" spans="1:6" x14ac:dyDescent="0.2">
      <c r="A103" s="89"/>
      <c r="B103" s="112" t="s">
        <v>202</v>
      </c>
      <c r="C103" s="112" t="str">
        <f>"Februar "&amp;$C$3-1</f>
        <v>Februar 2024</v>
      </c>
      <c r="D103" s="112" t="str">
        <f>"Fevrer "&amp;$C$3-1</f>
        <v>Fevrer 2024</v>
      </c>
      <c r="E103" s="112" t="str">
        <f>"Febbraio "&amp;$C$3-1</f>
        <v>Febbraio 2024</v>
      </c>
      <c r="F103" s="90"/>
    </row>
    <row r="104" spans="1:6" x14ac:dyDescent="0.2">
      <c r="A104" s="89"/>
      <c r="B104" s="112" t="s">
        <v>203</v>
      </c>
      <c r="C104" s="112" t="str">
        <f>"Januar-Februar "&amp;$D$3</f>
        <v>Januar-Februar 25</v>
      </c>
      <c r="D104" s="112" t="str">
        <f>"Schaner-fevrer "&amp;$D$3</f>
        <v>Schaner-fevrer 25</v>
      </c>
      <c r="E104" s="112" t="str">
        <f>"Gennaio-febbraio "&amp;$D$3</f>
        <v>Gennaio-febbraio 25</v>
      </c>
      <c r="F104" s="90"/>
    </row>
    <row r="105" spans="1:6" x14ac:dyDescent="0.2">
      <c r="A105" s="89"/>
      <c r="B105" s="112" t="s">
        <v>204</v>
      </c>
      <c r="C105" s="112" t="str">
        <f>"Januar-Februar "&amp;$D$3-1</f>
        <v>Januar-Februar 24</v>
      </c>
      <c r="D105" s="112" t="str">
        <f>"Schaner-fevrer "&amp;$D$3-1</f>
        <v>Schaner-fevrer 24</v>
      </c>
      <c r="E105" s="112" t="str">
        <f>"Gennaio-febbraio "&amp;$D$3-1</f>
        <v>Gennaio-febbraio 24</v>
      </c>
      <c r="F105" s="90"/>
    </row>
    <row r="106" spans="1:6" x14ac:dyDescent="0.2">
      <c r="A106" s="89"/>
      <c r="B106" s="90"/>
      <c r="C106" s="90"/>
      <c r="D106" s="90"/>
      <c r="E106" s="90"/>
      <c r="F106" s="90"/>
    </row>
    <row r="107" spans="1:6" ht="25.5" x14ac:dyDescent="0.2">
      <c r="A107" s="90"/>
      <c r="B107" s="88" t="s">
        <v>205</v>
      </c>
      <c r="C107" s="88" t="s">
        <v>613</v>
      </c>
      <c r="D107" s="88" t="s">
        <v>614</v>
      </c>
      <c r="E107" s="88" t="s">
        <v>615</v>
      </c>
      <c r="F107" s="90"/>
    </row>
    <row r="108" spans="1:6" x14ac:dyDescent="0.2">
      <c r="A108" s="90"/>
      <c r="B108" s="90"/>
      <c r="C108" s="90"/>
      <c r="D108" s="90"/>
      <c r="E108" s="90"/>
      <c r="F108" s="90"/>
    </row>
    <row r="109" spans="1:6" x14ac:dyDescent="0.2">
      <c r="A109" s="90"/>
      <c r="B109" s="88" t="s">
        <v>206</v>
      </c>
      <c r="C109" s="94" t="s">
        <v>612</v>
      </c>
      <c r="D109" s="94" t="s">
        <v>616</v>
      </c>
      <c r="E109" s="94" t="s">
        <v>617</v>
      </c>
      <c r="F109" s="90"/>
    </row>
    <row r="110" spans="1:6" ht="13.5" thickBot="1" x14ac:dyDescent="0.25">
      <c r="A110" s="105"/>
      <c r="B110" s="105"/>
      <c r="C110" s="105"/>
      <c r="D110" s="105"/>
      <c r="E110" s="105"/>
      <c r="F110" s="90"/>
    </row>
    <row r="111" spans="1:6" x14ac:dyDescent="0.2">
      <c r="A111" s="89"/>
      <c r="B111" s="92"/>
      <c r="C111" s="92"/>
      <c r="D111" s="90"/>
      <c r="E111" s="90"/>
      <c r="F111" s="90"/>
    </row>
    <row r="112" spans="1:6" ht="25.5" x14ac:dyDescent="0.2">
      <c r="A112" s="89" t="s">
        <v>208</v>
      </c>
      <c r="B112" s="112" t="s">
        <v>207</v>
      </c>
      <c r="C112" s="112" t="str">
        <f>"Hotel- und Kurbetriebe: Logiernächte im März "&amp;$C$3&amp;", nach Destinationen"</f>
        <v>Hotel- und Kurbetriebe: Logiernächte im März 2025, nach Destinationen</v>
      </c>
      <c r="D112" s="112" t="str">
        <f>"Manaschis d' hotel e da cura: pernottaziuns il mars "&amp;$C$3&amp;", tenor destinaziuns"</f>
        <v>Manaschis d' hotel e da cura: pernottaziuns il mars 2025, tenor destinaziuns</v>
      </c>
      <c r="E112" s="112" t="str">
        <f>"Alberghi e stabilimenti di cura: pernottamenti nel mese di marzo "&amp;$C$3&amp;", per destinazione"</f>
        <v>Alberghi e stabilimenti di cura: pernottamenti nel mese di marzo 2025, per destinazione</v>
      </c>
      <c r="F112" s="90"/>
    </row>
    <row r="113" spans="1:6" ht="25.5" x14ac:dyDescent="0.2">
      <c r="A113" s="89"/>
      <c r="B113" s="112" t="s">
        <v>191</v>
      </c>
      <c r="C113" s="112" t="str">
        <f>"Hotel- und Kurbetriebe: Logiernächte im März "&amp;$C$3&amp;", nach Herkunft"</f>
        <v>Hotel- und Kurbetriebe: Logiernächte im März 2025, nach Herkunft</v>
      </c>
      <c r="D113" s="112" t="str">
        <f>"Manaschis d' hotel e da cura: pernottaziuns il mars "&amp;$C$3&amp;", tenor la derivanza"</f>
        <v>Manaschis d' hotel e da cura: pernottaziuns il mars 2025, tenor la derivanza</v>
      </c>
      <c r="E113" s="112" t="str">
        <f>"Alberghi e stabilimenti di cura: pernottamenti nel mese di marzo "&amp;$C$3&amp;", per provenienza"</f>
        <v>Alberghi e stabilimenti di cura: pernottamenti nel mese di marzo 2025, per provenienza</v>
      </c>
      <c r="F113" s="90"/>
    </row>
    <row r="114" spans="1:6" ht="38.25" x14ac:dyDescent="0.2">
      <c r="A114" s="89"/>
      <c r="B114" s="112" t="s">
        <v>192</v>
      </c>
      <c r="C114" s="112" t="str">
        <f>"Hotel- und Kurbetriebe: Logiernächte im März "&amp;$C$3&amp;", nach Schweizer Tourismusregionen"</f>
        <v>Hotel- und Kurbetriebe: Logiernächte im März 2025, nach Schweizer Tourismusregionen</v>
      </c>
      <c r="D114" s="112" t="str">
        <f>"Manaschis d' hotel e da cura: pernottaziuns il mars "&amp;$C$3&amp;", tenor regiuns turisticas svizras"</f>
        <v>Manaschis d' hotel e da cura: pernottaziuns il mars 2025, tenor regiuns turisticas svizras</v>
      </c>
      <c r="E114" s="112" t="str">
        <f>"Alberghi e stabilimenti di cura: pernottamenti nel mese di marzo "&amp;$C$3&amp;", per regioni turistiche svizzere"</f>
        <v>Alberghi e stabilimenti di cura: pernottamenti nel mese di marzo 2025, per regioni turistiche svizzere</v>
      </c>
      <c r="F114" s="90"/>
    </row>
    <row r="115" spans="1:6" x14ac:dyDescent="0.2">
      <c r="A115" s="89"/>
      <c r="B115" s="89"/>
      <c r="C115" s="89"/>
      <c r="D115" s="89"/>
      <c r="E115" s="89"/>
      <c r="F115" s="90"/>
    </row>
    <row r="116" spans="1:6" x14ac:dyDescent="0.2">
      <c r="A116" s="89"/>
      <c r="B116" s="112" t="s">
        <v>193</v>
      </c>
      <c r="C116" s="112" t="str">
        <f>"März "&amp;$C$3</f>
        <v>März 2025</v>
      </c>
      <c r="D116" s="112" t="str">
        <f>"Mars "&amp;$C$3</f>
        <v>Mars 2025</v>
      </c>
      <c r="E116" s="112" t="str">
        <f>"Marzo "&amp;$C$3</f>
        <v>Marzo 2025</v>
      </c>
      <c r="F116" s="90"/>
    </row>
    <row r="117" spans="1:6" x14ac:dyDescent="0.2">
      <c r="A117" s="89"/>
      <c r="B117" s="112" t="s">
        <v>194</v>
      </c>
      <c r="C117" s="112" t="str">
        <f>"März "&amp;$C$3-1</f>
        <v>März 2024</v>
      </c>
      <c r="D117" s="112" t="str">
        <f>"Mars "&amp;$C$3-1</f>
        <v>Mars 2024</v>
      </c>
      <c r="E117" s="112" t="str">
        <f>"Marzo "&amp;$C$3-1</f>
        <v>Marzo 2024</v>
      </c>
      <c r="F117" s="90"/>
    </row>
    <row r="118" spans="1:6" x14ac:dyDescent="0.2">
      <c r="A118" s="89"/>
      <c r="B118" s="112" t="s">
        <v>195</v>
      </c>
      <c r="C118" s="112" t="str">
        <f>"Januar-März "&amp;$D$3</f>
        <v>Januar-März 25</v>
      </c>
      <c r="D118" s="112" t="str">
        <f>"Schaner-mars "&amp;$D$3</f>
        <v>Schaner-mars 25</v>
      </c>
      <c r="E118" s="112" t="str">
        <f>"Gennaio-marzo "&amp;$D$3</f>
        <v>Gennaio-marzo 25</v>
      </c>
      <c r="F118" s="90"/>
    </row>
    <row r="119" spans="1:6" x14ac:dyDescent="0.2">
      <c r="A119" s="89"/>
      <c r="B119" s="112" t="s">
        <v>196</v>
      </c>
      <c r="C119" s="112" t="str">
        <f>"Januar-März "&amp;$D$3-1</f>
        <v>Januar-März 24</v>
      </c>
      <c r="D119" s="112" t="str">
        <f>"Schaner-mars "&amp;$D$3-1</f>
        <v>Schaner-mars 24</v>
      </c>
      <c r="E119" s="112" t="str">
        <f>"Gennaio-marzo "&amp;$D$3-1</f>
        <v>Gennaio-marzo 24</v>
      </c>
      <c r="F119" s="90"/>
    </row>
    <row r="120" spans="1:6" x14ac:dyDescent="0.2">
      <c r="A120" s="89"/>
      <c r="B120" s="90"/>
      <c r="C120" s="90"/>
      <c r="D120" s="90"/>
      <c r="E120" s="90"/>
      <c r="F120" s="90"/>
    </row>
    <row r="121" spans="1:6" ht="25.5" x14ac:dyDescent="0.2">
      <c r="A121" s="90"/>
      <c r="B121" s="88" t="s">
        <v>197</v>
      </c>
      <c r="C121" s="88" t="s">
        <v>618</v>
      </c>
      <c r="D121" s="88" t="s">
        <v>620</v>
      </c>
      <c r="E121" s="88" t="s">
        <v>619</v>
      </c>
      <c r="F121" s="90"/>
    </row>
    <row r="122" spans="1:6" x14ac:dyDescent="0.2">
      <c r="A122" s="90"/>
      <c r="B122" s="90"/>
      <c r="C122" s="90"/>
      <c r="D122" s="90"/>
      <c r="E122" s="90"/>
      <c r="F122" s="90"/>
    </row>
    <row r="123" spans="1:6" x14ac:dyDescent="0.2">
      <c r="A123" s="90"/>
      <c r="B123" s="88" t="s">
        <v>198</v>
      </c>
      <c r="C123" s="94" t="s">
        <v>621</v>
      </c>
      <c r="D123" s="94" t="s">
        <v>622</v>
      </c>
      <c r="E123" s="94" t="s">
        <v>623</v>
      </c>
      <c r="F123" s="90"/>
    </row>
    <row r="124" spans="1:6" ht="13.5" thickBot="1" x14ac:dyDescent="0.25">
      <c r="A124" s="105"/>
      <c r="B124" s="105"/>
      <c r="C124" s="105"/>
      <c r="D124" s="105"/>
      <c r="E124" s="105"/>
      <c r="F124" s="90"/>
    </row>
    <row r="125" spans="1:6" x14ac:dyDescent="0.2">
      <c r="A125" s="89"/>
      <c r="B125" s="92"/>
      <c r="C125" s="92"/>
      <c r="D125" s="90"/>
      <c r="E125" s="90"/>
      <c r="F125" s="90"/>
    </row>
    <row r="126" spans="1:6" ht="25.5" x14ac:dyDescent="0.2">
      <c r="A126" s="89" t="s">
        <v>209</v>
      </c>
      <c r="B126" s="112" t="s">
        <v>210</v>
      </c>
      <c r="C126" s="112" t="str">
        <f>"Hotel- und Kurbetriebe: Logiernächte im April "&amp;$C$3&amp;", nach Destinationen"</f>
        <v>Hotel- und Kurbetriebe: Logiernächte im April 2025, nach Destinationen</v>
      </c>
      <c r="D126" s="112" t="str">
        <f>"Manaschis d' hotel e da cura: pernottaziuns il avrigl "&amp;$C$3&amp;", tenor destinaziuns"</f>
        <v>Manaschis d' hotel e da cura: pernottaziuns il avrigl 2025, tenor destinaziuns</v>
      </c>
      <c r="E126" s="112" t="str">
        <f>"Alberghi e stabilimenti di cura: pernottamenti nel mese di aprile "&amp;$C$3&amp;", per destinazione"</f>
        <v>Alberghi e stabilimenti di cura: pernottamenti nel mese di aprile 2025, per destinazione</v>
      </c>
      <c r="F126" s="90"/>
    </row>
    <row r="127" spans="1:6" ht="25.5" x14ac:dyDescent="0.2">
      <c r="A127" s="89"/>
      <c r="B127" s="112" t="s">
        <v>211</v>
      </c>
      <c r="C127" s="112" t="str">
        <f>"Hotel- und Kurbetriebe: Logiernächte im April "&amp;$C$3&amp;", nach Herkunft"</f>
        <v>Hotel- und Kurbetriebe: Logiernächte im April 2025, nach Herkunft</v>
      </c>
      <c r="D127" s="112" t="str">
        <f>"Manaschis d' hotel e da cura: pernottaziuns il avrigl "&amp;$C$3&amp;", tenor la derivanza"</f>
        <v>Manaschis d' hotel e da cura: pernottaziuns il avrigl 2025, tenor la derivanza</v>
      </c>
      <c r="E127" s="112" t="str">
        <f>"Alberghi e stabilimenti di cura: pernottamenti nel mese di aprile "&amp;$C$3&amp;", per provenienza"</f>
        <v>Alberghi e stabilimenti di cura: pernottamenti nel mese di aprile 2025, per provenienza</v>
      </c>
      <c r="F127" s="90"/>
    </row>
    <row r="128" spans="1:6" ht="38.25" x14ac:dyDescent="0.2">
      <c r="A128" s="89"/>
      <c r="B128" s="112" t="s">
        <v>212</v>
      </c>
      <c r="C128" s="112" t="str">
        <f>"Hotel- und Kurbetriebe: Logiernächte im April "&amp;$C$3&amp;", nach Schweizer Tourismusregionen"</f>
        <v>Hotel- und Kurbetriebe: Logiernächte im April 2025, nach Schweizer Tourismusregionen</v>
      </c>
      <c r="D128" s="112" t="str">
        <f>"Manaschis d' hotel e da cura: pernottaziuns il avrigl "&amp;$C$3&amp;", tenor regiuns turisticas svizras"</f>
        <v>Manaschis d' hotel e da cura: pernottaziuns il avrigl 2025, tenor regiuns turisticas svizras</v>
      </c>
      <c r="E128" s="112" t="str">
        <f>"Alberghi e stabilimenti di cura: pernottamenti nel mese di aprile "&amp;$C$3&amp;", per regioni turistiche svizzere"</f>
        <v>Alberghi e stabilimenti di cura: pernottamenti nel mese di aprile 2025, per regioni turistiche svizzere</v>
      </c>
      <c r="F128" s="90"/>
    </row>
    <row r="129" spans="1:6" x14ac:dyDescent="0.2">
      <c r="A129" s="89"/>
      <c r="B129" s="89"/>
      <c r="C129" s="89"/>
      <c r="D129" s="89"/>
      <c r="E129" s="89"/>
      <c r="F129" s="90"/>
    </row>
    <row r="130" spans="1:6" x14ac:dyDescent="0.2">
      <c r="A130" s="89"/>
      <c r="B130" s="112" t="s">
        <v>213</v>
      </c>
      <c r="C130" s="112" t="str">
        <f>"April "&amp;$C$3</f>
        <v>April 2025</v>
      </c>
      <c r="D130" s="112" t="str">
        <f>"Avrigl "&amp;$C$3</f>
        <v>Avrigl 2025</v>
      </c>
      <c r="E130" s="112" t="str">
        <f>"Aprile "&amp;$C$3</f>
        <v>Aprile 2025</v>
      </c>
      <c r="F130" s="90"/>
    </row>
    <row r="131" spans="1:6" x14ac:dyDescent="0.2">
      <c r="A131" s="89"/>
      <c r="B131" s="112" t="s">
        <v>214</v>
      </c>
      <c r="C131" s="112" t="str">
        <f>"April "&amp;$C$3-1</f>
        <v>April 2024</v>
      </c>
      <c r="D131" s="112" t="str">
        <f>"Avrigl "&amp;$C$3-1</f>
        <v>Avrigl 2024</v>
      </c>
      <c r="E131" s="112" t="str">
        <f>"Aprile "&amp;$C$3-1</f>
        <v>Aprile 2024</v>
      </c>
      <c r="F131" s="90"/>
    </row>
    <row r="132" spans="1:6" x14ac:dyDescent="0.2">
      <c r="A132" s="89"/>
      <c r="B132" s="112" t="s">
        <v>217</v>
      </c>
      <c r="C132" s="112" t="str">
        <f>"Januar-April "&amp;$D$3</f>
        <v>Januar-April 25</v>
      </c>
      <c r="D132" s="112" t="str">
        <f>"Schaner-avrigl "&amp;$D$3</f>
        <v>Schaner-avrigl 25</v>
      </c>
      <c r="E132" s="112" t="str">
        <f>"Gennaio-aprile "&amp;$D$3</f>
        <v>Gennaio-aprile 25</v>
      </c>
      <c r="F132" s="90"/>
    </row>
    <row r="133" spans="1:6" x14ac:dyDescent="0.2">
      <c r="A133" s="89"/>
      <c r="B133" s="112" t="s">
        <v>216</v>
      </c>
      <c r="C133" s="112" t="str">
        <f>"Januar-April "&amp;$D$3-1</f>
        <v>Januar-April 24</v>
      </c>
      <c r="D133" s="112" t="str">
        <f>"Schaner-avrigl "&amp;$D$3-1</f>
        <v>Schaner-avrigl 24</v>
      </c>
      <c r="E133" s="112" t="str">
        <f>"Gennaio-aprile "&amp;$D$3-1</f>
        <v>Gennaio-aprile 24</v>
      </c>
      <c r="F133" s="90"/>
    </row>
    <row r="134" spans="1:6" x14ac:dyDescent="0.2">
      <c r="A134" s="89"/>
      <c r="B134" s="90"/>
      <c r="C134" s="90"/>
      <c r="D134" s="90"/>
      <c r="E134" s="90"/>
      <c r="F134" s="90"/>
    </row>
    <row r="135" spans="1:6" ht="25.5" x14ac:dyDescent="0.2">
      <c r="A135" s="90"/>
      <c r="B135" s="88" t="s">
        <v>218</v>
      </c>
      <c r="C135" s="88" t="s">
        <v>627</v>
      </c>
      <c r="D135" s="88" t="s">
        <v>628</v>
      </c>
      <c r="E135" s="88" t="s">
        <v>629</v>
      </c>
      <c r="F135" s="90"/>
    </row>
    <row r="136" spans="1:6" x14ac:dyDescent="0.2">
      <c r="A136" s="90"/>
      <c r="B136" s="90"/>
      <c r="C136" s="90"/>
      <c r="D136" s="90"/>
      <c r="E136" s="90"/>
      <c r="F136" s="90"/>
    </row>
    <row r="137" spans="1:6" x14ac:dyDescent="0.2">
      <c r="A137" s="90"/>
      <c r="B137" s="88" t="s">
        <v>219</v>
      </c>
      <c r="C137" s="94" t="s">
        <v>624</v>
      </c>
      <c r="D137" s="94" t="s">
        <v>625</v>
      </c>
      <c r="E137" s="94" t="s">
        <v>626</v>
      </c>
      <c r="F137" s="90"/>
    </row>
    <row r="138" spans="1:6" ht="13.5" thickBot="1" x14ac:dyDescent="0.25">
      <c r="A138" s="105"/>
      <c r="B138" s="105"/>
      <c r="C138" s="105"/>
      <c r="D138" s="105"/>
      <c r="E138" s="105"/>
      <c r="F138" s="90"/>
    </row>
    <row r="139" spans="1:6" x14ac:dyDescent="0.2">
      <c r="A139" s="89"/>
      <c r="B139" s="92"/>
      <c r="C139" s="92"/>
      <c r="D139" s="90"/>
      <c r="E139" s="90"/>
      <c r="F139" s="90"/>
    </row>
    <row r="140" spans="1:6" ht="25.5" x14ac:dyDescent="0.2">
      <c r="A140" s="89" t="s">
        <v>220</v>
      </c>
      <c r="B140" s="112" t="s">
        <v>221</v>
      </c>
      <c r="C140" s="112" t="str">
        <f>"Hotel- und Kurbetriebe: Logiernächte im Mai "&amp;$C$3&amp;", nach Destinationen"</f>
        <v>Hotel- und Kurbetriebe: Logiernächte im Mai 2025, nach Destinationen</v>
      </c>
      <c r="D140" s="112" t="str">
        <f>"Manaschis d' hotel e da cura: pernottaziuns il matg "&amp;$C$3&amp;", tenor destinaziuns"</f>
        <v>Manaschis d' hotel e da cura: pernottaziuns il matg 2025, tenor destinaziuns</v>
      </c>
      <c r="E140" s="112" t="str">
        <f>"Alberghi e stabilimenti di cura: pernottamenti nel mese di maggio "&amp;$C$3&amp;", per destinazione"</f>
        <v>Alberghi e stabilimenti di cura: pernottamenti nel mese di maggio 2025, per destinazione</v>
      </c>
      <c r="F140" s="90"/>
    </row>
    <row r="141" spans="1:6" ht="25.5" x14ac:dyDescent="0.2">
      <c r="A141" s="89"/>
      <c r="B141" s="112" t="s">
        <v>222</v>
      </c>
      <c r="C141" s="112" t="str">
        <f>"Hotel- und Kurbetriebe: Logiernächte im Mai "&amp;$C$3&amp;", nach Herkunft"</f>
        <v>Hotel- und Kurbetriebe: Logiernächte im Mai 2025, nach Herkunft</v>
      </c>
      <c r="D141" s="112" t="str">
        <f>"Manaschis d' hotel e da cura: pernottaziuns il matg "&amp;$C$3&amp;", tenor la derivanza"</f>
        <v>Manaschis d' hotel e da cura: pernottaziuns il matg 2025, tenor la derivanza</v>
      </c>
      <c r="E141" s="112" t="str">
        <f>"Alberghi e stabilimenti di cura: pernottamenti nel mese di maggio "&amp;$C$3&amp;", per provenienza"</f>
        <v>Alberghi e stabilimenti di cura: pernottamenti nel mese di maggio 2025, per provenienza</v>
      </c>
      <c r="F141" s="90"/>
    </row>
    <row r="142" spans="1:6" ht="38.25" x14ac:dyDescent="0.2">
      <c r="A142" s="89"/>
      <c r="B142" s="112" t="s">
        <v>223</v>
      </c>
      <c r="C142" s="112" t="str">
        <f>"Hotel- und Kurbetriebe: Logiernächte im Mai "&amp;$C$3&amp;", nach Schweizer Tourismusregionen"</f>
        <v>Hotel- und Kurbetriebe: Logiernächte im Mai 2025, nach Schweizer Tourismusregionen</v>
      </c>
      <c r="D142" s="112" t="str">
        <f>"Manaschis d' hotel e da cura: pernottaziuns il matg "&amp;$C$3&amp;", tenor regiuns turisticas svizras"</f>
        <v>Manaschis d' hotel e da cura: pernottaziuns il matg 2025, tenor regiuns turisticas svizras</v>
      </c>
      <c r="E142" s="112" t="str">
        <f>"Alberghi e stabilimenti di cura: pernottamenti nel mese di maggio "&amp;$C$3&amp;", per regioni turistiche svizzere"</f>
        <v>Alberghi e stabilimenti di cura: pernottamenti nel mese di maggio 2025, per regioni turistiche svizzere</v>
      </c>
      <c r="F142" s="90"/>
    </row>
    <row r="143" spans="1:6" x14ac:dyDescent="0.2">
      <c r="A143" s="89"/>
      <c r="B143" s="89"/>
      <c r="C143" s="89"/>
      <c r="D143" s="89"/>
      <c r="E143" s="89"/>
      <c r="F143" s="90"/>
    </row>
    <row r="144" spans="1:6" x14ac:dyDescent="0.2">
      <c r="A144" s="89"/>
      <c r="B144" s="112" t="s">
        <v>224</v>
      </c>
      <c r="C144" s="112" t="str">
        <f>"Mai "&amp;$C$3</f>
        <v>Mai 2025</v>
      </c>
      <c r="D144" s="112" t="str">
        <f>"Matg "&amp;$C$3</f>
        <v>Matg 2025</v>
      </c>
      <c r="E144" s="112" t="str">
        <f>"Maggio "&amp;$C$3</f>
        <v>Maggio 2025</v>
      </c>
      <c r="F144" s="90"/>
    </row>
    <row r="145" spans="1:6" x14ac:dyDescent="0.2">
      <c r="A145" s="89"/>
      <c r="B145" s="112" t="s">
        <v>225</v>
      </c>
      <c r="C145" s="112" t="str">
        <f>"Mai "&amp;$C$3-1</f>
        <v>Mai 2024</v>
      </c>
      <c r="D145" s="112" t="str">
        <f>"Matg "&amp;$C$3-1</f>
        <v>Matg 2024</v>
      </c>
      <c r="E145" s="112" t="str">
        <f>"Maggio "&amp;$C$3-1</f>
        <v>Maggio 2024</v>
      </c>
      <c r="F145" s="90"/>
    </row>
    <row r="146" spans="1:6" x14ac:dyDescent="0.2">
      <c r="A146" s="89"/>
      <c r="B146" s="112" t="s">
        <v>215</v>
      </c>
      <c r="C146" s="112" t="str">
        <f>"Januar-Mai "&amp;$D$3</f>
        <v>Januar-Mai 25</v>
      </c>
      <c r="D146" s="112" t="str">
        <f>"Schaner-matg "&amp;$D$3</f>
        <v>Schaner-matg 25</v>
      </c>
      <c r="E146" s="112" t="str">
        <f>"Gennaio-maggio "&amp;$D$3</f>
        <v>Gennaio-maggio 25</v>
      </c>
      <c r="F146" s="90"/>
    </row>
    <row r="147" spans="1:6" x14ac:dyDescent="0.2">
      <c r="A147" s="89"/>
      <c r="B147" s="112" t="s">
        <v>226</v>
      </c>
      <c r="C147" s="112" t="str">
        <f>"Januar-Mai "&amp;$D$3-1</f>
        <v>Januar-Mai 24</v>
      </c>
      <c r="D147" s="112" t="str">
        <f>"Schaner-matg "&amp;$D$3-1</f>
        <v>Schaner-matg 24</v>
      </c>
      <c r="E147" s="112" t="str">
        <f>"Gennaio-maggio "&amp;$D$3-1</f>
        <v>Gennaio-maggio 24</v>
      </c>
      <c r="F147" s="90"/>
    </row>
    <row r="148" spans="1:6" x14ac:dyDescent="0.2">
      <c r="A148" s="89"/>
      <c r="B148" s="90"/>
      <c r="C148" s="90"/>
      <c r="D148" s="90"/>
      <c r="E148" s="90"/>
      <c r="F148" s="90"/>
    </row>
    <row r="149" spans="1:6" ht="25.5" x14ac:dyDescent="0.2">
      <c r="A149" s="90"/>
      <c r="B149" s="88" t="s">
        <v>227</v>
      </c>
      <c r="C149" s="88" t="s">
        <v>588</v>
      </c>
      <c r="D149" s="88" t="s">
        <v>589</v>
      </c>
      <c r="E149" s="88" t="s">
        <v>590</v>
      </c>
      <c r="F149" s="90"/>
    </row>
    <row r="150" spans="1:6" x14ac:dyDescent="0.2">
      <c r="A150" s="90"/>
      <c r="B150" s="90"/>
      <c r="C150" s="90"/>
      <c r="D150" s="90"/>
      <c r="E150" s="90"/>
      <c r="F150" s="90"/>
    </row>
    <row r="151" spans="1:6" x14ac:dyDescent="0.2">
      <c r="A151" s="90"/>
      <c r="B151" s="88" t="s">
        <v>228</v>
      </c>
      <c r="C151" s="94" t="s">
        <v>630</v>
      </c>
      <c r="D151" s="94" t="s">
        <v>631</v>
      </c>
      <c r="E151" s="94" t="s">
        <v>632</v>
      </c>
      <c r="F151" s="90"/>
    </row>
    <row r="152" spans="1:6" ht="13.5" thickBot="1" x14ac:dyDescent="0.25">
      <c r="A152" s="105"/>
      <c r="B152" s="105"/>
      <c r="C152" s="105"/>
      <c r="D152" s="105"/>
      <c r="E152" s="105"/>
      <c r="F152" s="90"/>
    </row>
    <row r="153" spans="1:6" x14ac:dyDescent="0.2">
      <c r="A153" s="89"/>
      <c r="B153" s="92"/>
      <c r="C153" s="92"/>
      <c r="D153" s="90"/>
      <c r="E153" s="90"/>
      <c r="F153" s="90"/>
    </row>
    <row r="154" spans="1:6" ht="25.5" x14ac:dyDescent="0.2">
      <c r="A154" s="89" t="s">
        <v>229</v>
      </c>
      <c r="B154" s="112" t="s">
        <v>230</v>
      </c>
      <c r="C154" s="112" t="str">
        <f>"Hotel- und Kurbetriebe: Logiernächte im Juni "&amp;$C$3&amp;", nach Destinationen"</f>
        <v>Hotel- und Kurbetriebe: Logiernächte im Juni 2025, nach Destinationen</v>
      </c>
      <c r="D154" s="112" t="str">
        <f>"Manaschis d' hotel e da cura: pernottaziuns il zercladur "&amp;$C$3&amp;", tenor destinaziuns"</f>
        <v>Manaschis d' hotel e da cura: pernottaziuns il zercladur 2025, tenor destinaziuns</v>
      </c>
      <c r="E154" s="112" t="str">
        <f>"Alberghi e stabilimenti di cura: pernottamenti nel mese di giugno "&amp;$C$3&amp;", per destinazione"</f>
        <v>Alberghi e stabilimenti di cura: pernottamenti nel mese di giugno 2025, per destinazione</v>
      </c>
      <c r="F154" s="90"/>
    </row>
    <row r="155" spans="1:6" ht="25.5" x14ac:dyDescent="0.2">
      <c r="A155" s="89"/>
      <c r="B155" s="112" t="s">
        <v>231</v>
      </c>
      <c r="C155" s="112" t="str">
        <f>"Hotel- und Kurbetriebe: Logiernächte im Juni "&amp;$C$3&amp;", nach Herkunft"</f>
        <v>Hotel- und Kurbetriebe: Logiernächte im Juni 2025, nach Herkunft</v>
      </c>
      <c r="D155" s="112" t="str">
        <f>"Manaschis d' hotel e da cura: pernottaziuns il zercladur "&amp;$C$3&amp;", tenor la derivanza"</f>
        <v>Manaschis d' hotel e da cura: pernottaziuns il zercladur 2025, tenor la derivanza</v>
      </c>
      <c r="E155" s="112" t="str">
        <f>"Alberghi e stabilimenti di cura: pernottamenti nel mese di giugno "&amp;$C$3&amp;", per provenienza"</f>
        <v>Alberghi e stabilimenti di cura: pernottamenti nel mese di giugno 2025, per provenienza</v>
      </c>
      <c r="F155" s="90"/>
    </row>
    <row r="156" spans="1:6" ht="38.25" x14ac:dyDescent="0.2">
      <c r="A156" s="89"/>
      <c r="B156" s="112" t="s">
        <v>232</v>
      </c>
      <c r="C156" s="112" t="str">
        <f>"Hotel- und Kurbetriebe: Logiernächte im Juni "&amp;$C$3&amp;", nach Schweizer Tourismusregionen"</f>
        <v>Hotel- und Kurbetriebe: Logiernächte im Juni 2025, nach Schweizer Tourismusregionen</v>
      </c>
      <c r="D156" s="112" t="str">
        <f>"Manaschis d' hotel e da cura: pernottaziuns il zercladur "&amp;$C$3&amp;", tenor regiuns turisticas svizras"</f>
        <v>Manaschis d' hotel e da cura: pernottaziuns il zercladur 2025, tenor regiuns turisticas svizras</v>
      </c>
      <c r="E156" s="112" t="str">
        <f>"Alberghi e stabilimenti di cura: pernottamenti nel mese di giugno "&amp;$C$3&amp;", per regioni turistiche svizzere"</f>
        <v>Alberghi e stabilimenti di cura: pernottamenti nel mese di giugno 2025, per regioni turistiche svizzere</v>
      </c>
      <c r="F156" s="90"/>
    </row>
    <row r="157" spans="1:6" x14ac:dyDescent="0.2">
      <c r="A157" s="89"/>
      <c r="B157" s="89"/>
      <c r="C157" s="89"/>
      <c r="D157" s="89"/>
      <c r="E157" s="89"/>
      <c r="F157" s="90"/>
    </row>
    <row r="158" spans="1:6" x14ac:dyDescent="0.2">
      <c r="A158" s="89"/>
      <c r="B158" s="112" t="s">
        <v>233</v>
      </c>
      <c r="C158" s="112" t="str">
        <f>"Juni "&amp;$C$3</f>
        <v>Juni 2025</v>
      </c>
      <c r="D158" s="112" t="str">
        <f>"Zercladur "&amp;$C$3</f>
        <v>Zercladur 2025</v>
      </c>
      <c r="E158" s="112" t="str">
        <f>"Giugno "&amp;$C$3</f>
        <v>Giugno 2025</v>
      </c>
      <c r="F158" s="90"/>
    </row>
    <row r="159" spans="1:6" x14ac:dyDescent="0.2">
      <c r="A159" s="89"/>
      <c r="B159" s="112" t="s">
        <v>234</v>
      </c>
      <c r="C159" s="112" t="str">
        <f>"Juni "&amp;$C$3-1</f>
        <v>Juni 2024</v>
      </c>
      <c r="D159" s="112" t="str">
        <f>"Zercladur "&amp;$C$3-1</f>
        <v>Zercladur 2024</v>
      </c>
      <c r="E159" s="112" t="str">
        <f>"Giugno "&amp;$C$3-1</f>
        <v>Giugno 2024</v>
      </c>
      <c r="F159" s="90"/>
    </row>
    <row r="160" spans="1:6" x14ac:dyDescent="0.2">
      <c r="A160" s="89"/>
      <c r="B160" s="112" t="s">
        <v>235</v>
      </c>
      <c r="C160" s="112" t="str">
        <f>"Januar-Juni "&amp;$D$3</f>
        <v>Januar-Juni 25</v>
      </c>
      <c r="D160" s="112" t="str">
        <f>"Schaner-zercladur "&amp;$D$3</f>
        <v>Schaner-zercladur 25</v>
      </c>
      <c r="E160" s="112" t="str">
        <f>"Gennaio-giugno "&amp;$D$3</f>
        <v>Gennaio-giugno 25</v>
      </c>
      <c r="F160" s="90"/>
    </row>
    <row r="161" spans="1:6" x14ac:dyDescent="0.2">
      <c r="A161" s="89"/>
      <c r="B161" s="112" t="s">
        <v>236</v>
      </c>
      <c r="C161" s="112" t="str">
        <f>"Januar-Juni "&amp;$D$3-1</f>
        <v>Januar-Juni 24</v>
      </c>
      <c r="D161" s="112" t="str">
        <f>"Schaner-zercladur "&amp;$D$3-1</f>
        <v>Schaner-zercladur 24</v>
      </c>
      <c r="E161" s="112" t="str">
        <f>"Gennaio-giugno "&amp;$D$3-1</f>
        <v>Gennaio-giugno 24</v>
      </c>
      <c r="F161" s="90"/>
    </row>
    <row r="162" spans="1:6" x14ac:dyDescent="0.2">
      <c r="A162" s="89"/>
      <c r="B162" s="90"/>
      <c r="C162" s="90"/>
      <c r="D162" s="90"/>
      <c r="E162" s="90"/>
      <c r="F162" s="90"/>
    </row>
    <row r="163" spans="1:6" ht="25.5" x14ac:dyDescent="0.2">
      <c r="A163" s="90"/>
      <c r="B163" s="88" t="s">
        <v>237</v>
      </c>
      <c r="C163" s="88" t="s">
        <v>591</v>
      </c>
      <c r="D163" s="88" t="s">
        <v>592</v>
      </c>
      <c r="E163" s="88" t="s">
        <v>593</v>
      </c>
      <c r="F163" s="90"/>
    </row>
    <row r="164" spans="1:6" x14ac:dyDescent="0.2">
      <c r="A164" s="90"/>
      <c r="B164" s="90"/>
      <c r="C164" s="90"/>
      <c r="D164" s="90"/>
      <c r="E164" s="90"/>
      <c r="F164" s="90"/>
    </row>
    <row r="165" spans="1:6" x14ac:dyDescent="0.2">
      <c r="A165" s="90"/>
      <c r="B165" s="88" t="s">
        <v>238</v>
      </c>
      <c r="C165" s="94" t="s">
        <v>633</v>
      </c>
      <c r="D165" s="94" t="s">
        <v>634</v>
      </c>
      <c r="E165" s="94" t="s">
        <v>635</v>
      </c>
      <c r="F165" s="90"/>
    </row>
    <row r="166" spans="1:6" ht="13.5" thickBot="1" x14ac:dyDescent="0.25">
      <c r="A166" s="105"/>
      <c r="B166" s="105"/>
      <c r="C166" s="105"/>
      <c r="D166" s="105"/>
      <c r="E166" s="105"/>
      <c r="F166" s="90"/>
    </row>
    <row r="167" spans="1:6" x14ac:dyDescent="0.2">
      <c r="A167" s="89"/>
      <c r="B167" s="92"/>
      <c r="C167" s="92"/>
      <c r="D167" s="90"/>
      <c r="E167" s="90"/>
      <c r="F167" s="90"/>
    </row>
    <row r="168" spans="1:6" ht="25.5" x14ac:dyDescent="0.2">
      <c r="A168" s="89" t="s">
        <v>239</v>
      </c>
      <c r="B168" s="112" t="s">
        <v>240</v>
      </c>
      <c r="C168" s="112" t="str">
        <f>"Hotel- und Kurbetriebe: Logiernächte im Juli "&amp;$C$3&amp;", nach Destinationen"</f>
        <v>Hotel- und Kurbetriebe: Logiernächte im Juli 2025, nach Destinationen</v>
      </c>
      <c r="D168" s="112" t="str">
        <f>"Manaschis d' hotel e da cura: pernottaziuns il fanadur "&amp;$C$3&amp;", tenor destinaziuns"</f>
        <v>Manaschis d' hotel e da cura: pernottaziuns il fanadur 2025, tenor destinaziuns</v>
      </c>
      <c r="E168" s="112" t="str">
        <f>"Alberghi e stabilimenti di cura: pernottamenti nel mese di luglio "&amp;$C$3&amp;", per destinazione"</f>
        <v>Alberghi e stabilimenti di cura: pernottamenti nel mese di luglio 2025, per destinazione</v>
      </c>
      <c r="F168" s="90"/>
    </row>
    <row r="169" spans="1:6" ht="25.5" x14ac:dyDescent="0.2">
      <c r="A169" s="89"/>
      <c r="B169" s="112" t="s">
        <v>241</v>
      </c>
      <c r="C169" s="112" t="str">
        <f>"Hotel- und Kurbetriebe: Logiernächte im Juli "&amp;$C$3&amp;", nach Herkunft"</f>
        <v>Hotel- und Kurbetriebe: Logiernächte im Juli 2025, nach Herkunft</v>
      </c>
      <c r="D169" s="112" t="str">
        <f>"Manaschis d' hotel e da cura: pernottaziuns il fanadur "&amp;$C$3&amp;", tenor la derivanza"</f>
        <v>Manaschis d' hotel e da cura: pernottaziuns il fanadur 2025, tenor la derivanza</v>
      </c>
      <c r="E169" s="112" t="str">
        <f>"Alberghi e stabilimenti di cura: pernottamenti nel mese di luglio "&amp;$C$3&amp;", per provenienza"</f>
        <v>Alberghi e stabilimenti di cura: pernottamenti nel mese di luglio 2025, per provenienza</v>
      </c>
      <c r="F169" s="90"/>
    </row>
    <row r="170" spans="1:6" ht="38.25" x14ac:dyDescent="0.2">
      <c r="A170" s="89"/>
      <c r="B170" s="112" t="s">
        <v>242</v>
      </c>
      <c r="C170" s="112" t="str">
        <f>"Hotel- und Kurbetriebe: Logiernächte im Juli "&amp;$C$3&amp;", nach Schweizer Tourismusregionen"</f>
        <v>Hotel- und Kurbetriebe: Logiernächte im Juli 2025, nach Schweizer Tourismusregionen</v>
      </c>
      <c r="D170" s="112" t="str">
        <f>"Manaschis d' hotel e da cura: pernottaziuns il fanadur "&amp;$C$3&amp;", tenor regiuns turisticas svizras"</f>
        <v>Manaschis d' hotel e da cura: pernottaziuns il fanadur 2025, tenor regiuns turisticas svizras</v>
      </c>
      <c r="E170" s="112" t="str">
        <f>"Alberghi e stabilimenti di cura: pernottamenti nel mese di luglio "&amp;$C$3&amp;", per regioni turistiche svizzere"</f>
        <v>Alberghi e stabilimenti di cura: pernottamenti nel mese di luglio 2025, per regioni turistiche svizzere</v>
      </c>
      <c r="F170" s="90"/>
    </row>
    <row r="171" spans="1:6" x14ac:dyDescent="0.2">
      <c r="A171" s="89"/>
      <c r="B171" s="89"/>
      <c r="C171" s="89"/>
      <c r="D171" s="89"/>
      <c r="E171" s="89"/>
      <c r="F171" s="90"/>
    </row>
    <row r="172" spans="1:6" x14ac:dyDescent="0.2">
      <c r="A172" s="89"/>
      <c r="B172" s="112" t="s">
        <v>243</v>
      </c>
      <c r="C172" s="112" t="str">
        <f>"Juli "&amp;$C$3</f>
        <v>Juli 2025</v>
      </c>
      <c r="D172" s="112" t="str">
        <f>"Fanadur "&amp;$C$3</f>
        <v>Fanadur 2025</v>
      </c>
      <c r="E172" s="112" t="str">
        <f>"Luglio "&amp;$C$3</f>
        <v>Luglio 2025</v>
      </c>
      <c r="F172" s="90"/>
    </row>
    <row r="173" spans="1:6" x14ac:dyDescent="0.2">
      <c r="A173" s="89"/>
      <c r="B173" s="112" t="s">
        <v>244</v>
      </c>
      <c r="C173" s="112" t="str">
        <f>"Juli "&amp;$C$3-1</f>
        <v>Juli 2024</v>
      </c>
      <c r="D173" s="112" t="str">
        <f>"Fanadur "&amp;$C$3-1</f>
        <v>Fanadur 2024</v>
      </c>
      <c r="E173" s="112" t="str">
        <f>"Luglio "&amp;$C$3-1</f>
        <v>Luglio 2024</v>
      </c>
      <c r="F173" s="90"/>
    </row>
    <row r="174" spans="1:6" x14ac:dyDescent="0.2">
      <c r="A174" s="89"/>
      <c r="B174" s="112" t="s">
        <v>245</v>
      </c>
      <c r="C174" s="112" t="str">
        <f>"Januar-Juli "&amp;$D$3</f>
        <v>Januar-Juli 25</v>
      </c>
      <c r="D174" s="112" t="str">
        <f>"Schaner-fanadur "&amp;$D$3</f>
        <v>Schaner-fanadur 25</v>
      </c>
      <c r="E174" s="112" t="str">
        <f>"Gennaio-luglio "&amp;$D$3</f>
        <v>Gennaio-luglio 25</v>
      </c>
      <c r="F174" s="90"/>
    </row>
    <row r="175" spans="1:6" x14ac:dyDescent="0.2">
      <c r="A175" s="89"/>
      <c r="B175" s="112" t="s">
        <v>246</v>
      </c>
      <c r="C175" s="112" t="str">
        <f>"Januar-Juli "&amp;$D$3-1</f>
        <v>Januar-Juli 24</v>
      </c>
      <c r="D175" s="112" t="str">
        <f>"Schaner-fanadur "&amp;$D$3-1</f>
        <v>Schaner-fanadur 24</v>
      </c>
      <c r="E175" s="112" t="str">
        <f>"Gennaio-luglio "&amp;$D$3-1</f>
        <v>Gennaio-luglio 24</v>
      </c>
      <c r="F175" s="90"/>
    </row>
    <row r="176" spans="1:6" x14ac:dyDescent="0.2">
      <c r="A176" s="89"/>
      <c r="B176" s="90"/>
      <c r="C176" s="90"/>
      <c r="D176" s="90"/>
      <c r="E176" s="90"/>
      <c r="F176" s="90"/>
    </row>
    <row r="177" spans="1:6" ht="25.5" x14ac:dyDescent="0.2">
      <c r="A177" s="90"/>
      <c r="B177" s="88" t="s">
        <v>249</v>
      </c>
      <c r="C177" s="88" t="s">
        <v>639</v>
      </c>
      <c r="D177" s="88" t="s">
        <v>640</v>
      </c>
      <c r="E177" s="88" t="s">
        <v>641</v>
      </c>
      <c r="F177" s="90"/>
    </row>
    <row r="178" spans="1:6" x14ac:dyDescent="0.2">
      <c r="A178" s="90"/>
      <c r="B178" s="90"/>
      <c r="C178" s="90"/>
      <c r="D178" s="90"/>
      <c r="E178" s="90"/>
      <c r="F178" s="90"/>
    </row>
    <row r="179" spans="1:6" x14ac:dyDescent="0.2">
      <c r="A179" s="90"/>
      <c r="B179" s="88" t="s">
        <v>248</v>
      </c>
      <c r="C179" s="94" t="s">
        <v>636</v>
      </c>
      <c r="D179" s="94" t="s">
        <v>637</v>
      </c>
      <c r="E179" s="94" t="s">
        <v>638</v>
      </c>
      <c r="F179" s="90"/>
    </row>
    <row r="180" spans="1:6" ht="13.5" thickBot="1" x14ac:dyDescent="0.25">
      <c r="A180" s="105"/>
      <c r="B180" s="105"/>
      <c r="C180" s="105"/>
      <c r="D180" s="105"/>
      <c r="E180" s="105"/>
      <c r="F180" s="90"/>
    </row>
    <row r="181" spans="1:6" x14ac:dyDescent="0.2">
      <c r="A181" s="89"/>
      <c r="B181" s="92"/>
      <c r="C181" s="92"/>
      <c r="D181" s="90"/>
      <c r="E181" s="90"/>
      <c r="F181" s="90"/>
    </row>
    <row r="182" spans="1:6" ht="25.5" x14ac:dyDescent="0.2">
      <c r="A182" s="89" t="s">
        <v>250</v>
      </c>
      <c r="B182" s="112" t="s">
        <v>251</v>
      </c>
      <c r="C182" s="112" t="str">
        <f>"Hotel- und Kurbetriebe: Logiernächte im August "&amp;$C$3&amp;", nach Destinationen"</f>
        <v>Hotel- und Kurbetriebe: Logiernächte im August 2025, nach Destinationen</v>
      </c>
      <c r="D182" s="112" t="str">
        <f>"Manaschis d' hotel e da cura: pernottaziuns il avust "&amp;$C$3&amp;", tenor destinaziuns"</f>
        <v>Manaschis d' hotel e da cura: pernottaziuns il avust 2025, tenor destinaziuns</v>
      </c>
      <c r="E182" s="112" t="str">
        <f>"Alberghi e stabilimenti di cura: pernottamenti nel mese di agosto "&amp;$C$3&amp;", per destinazione"</f>
        <v>Alberghi e stabilimenti di cura: pernottamenti nel mese di agosto 2025, per destinazione</v>
      </c>
      <c r="F182" s="90"/>
    </row>
    <row r="183" spans="1:6" ht="25.5" x14ac:dyDescent="0.2">
      <c r="A183" s="89"/>
      <c r="B183" s="112" t="s">
        <v>252</v>
      </c>
      <c r="C183" s="112" t="str">
        <f>"Hotel- und Kurbetriebe: Logiernächte im August "&amp;$C$3&amp;", nach Herkunft"</f>
        <v>Hotel- und Kurbetriebe: Logiernächte im August 2025, nach Herkunft</v>
      </c>
      <c r="D183" s="112" t="str">
        <f>"Manaschis d' hotel e da cura: pernottaziuns il avust "&amp;$C$3&amp;", tenor la derivanza"</f>
        <v>Manaschis d' hotel e da cura: pernottaziuns il avust 2025, tenor la derivanza</v>
      </c>
      <c r="E183" s="112" t="str">
        <f>"Alberghi e stabilimenti di cura: pernottamenti nel mese di agosto "&amp;$C$3&amp;", per provenienza"</f>
        <v>Alberghi e stabilimenti di cura: pernottamenti nel mese di agosto 2025, per provenienza</v>
      </c>
      <c r="F183" s="90"/>
    </row>
    <row r="184" spans="1:6" ht="38.25" x14ac:dyDescent="0.2">
      <c r="A184" s="89"/>
      <c r="B184" s="112" t="s">
        <v>253</v>
      </c>
      <c r="C184" s="112" t="str">
        <f>"Hotel- und Kurbetriebe: Logiernächte im August "&amp;$C$3&amp;", nach Schweizer Tourismusregionen"</f>
        <v>Hotel- und Kurbetriebe: Logiernächte im August 2025, nach Schweizer Tourismusregionen</v>
      </c>
      <c r="D184" s="112" t="str">
        <f>"Manaschis d' hotel e da cura: pernottaziuns il avust "&amp;$C$3&amp;", tenor regiuns turisticas svizras"</f>
        <v>Manaschis d' hotel e da cura: pernottaziuns il avust 2025, tenor regiuns turisticas svizras</v>
      </c>
      <c r="E184" s="112" t="str">
        <f>"Alberghi e stabilimenti di cura: pernottamenti nel mese di agosto "&amp;$C$3&amp;", per regioni turistiche svizzere"</f>
        <v>Alberghi e stabilimenti di cura: pernottamenti nel mese di agosto 2025, per regioni turistiche svizzere</v>
      </c>
      <c r="F184" s="90"/>
    </row>
    <row r="185" spans="1:6" x14ac:dyDescent="0.2">
      <c r="A185" s="89"/>
      <c r="B185" s="89"/>
      <c r="C185" s="89"/>
      <c r="D185" s="89"/>
      <c r="E185" s="89"/>
      <c r="F185" s="90"/>
    </row>
    <row r="186" spans="1:6" x14ac:dyDescent="0.2">
      <c r="A186" s="89"/>
      <c r="B186" s="112" t="s">
        <v>254</v>
      </c>
      <c r="C186" s="112" t="str">
        <f>"August "&amp;$C$3</f>
        <v>August 2025</v>
      </c>
      <c r="D186" s="112" t="str">
        <f>"Avust "&amp;$C$3</f>
        <v>Avust 2025</v>
      </c>
      <c r="E186" s="112" t="str">
        <f>"Agosto "&amp;$C$3</f>
        <v>Agosto 2025</v>
      </c>
      <c r="F186" s="90"/>
    </row>
    <row r="187" spans="1:6" x14ac:dyDescent="0.2">
      <c r="A187" s="89"/>
      <c r="B187" s="112" t="s">
        <v>255</v>
      </c>
      <c r="C187" s="112" t="str">
        <f>"August "&amp;$C$3-1</f>
        <v>August 2024</v>
      </c>
      <c r="D187" s="112" t="str">
        <f>"Avust "&amp;$C$3-1</f>
        <v>Avust 2024</v>
      </c>
      <c r="E187" s="112" t="str">
        <f>"Agosto "&amp;$C$3-1</f>
        <v>Agosto 2024</v>
      </c>
      <c r="F187" s="90"/>
    </row>
    <row r="188" spans="1:6" x14ac:dyDescent="0.2">
      <c r="A188" s="89"/>
      <c r="B188" s="112" t="s">
        <v>256</v>
      </c>
      <c r="C188" s="112" t="str">
        <f>"Januar-August "&amp;$D$3</f>
        <v>Januar-August 25</v>
      </c>
      <c r="D188" s="112" t="str">
        <f>"Schaner-avust "&amp;$D$3</f>
        <v>Schaner-avust 25</v>
      </c>
      <c r="E188" s="112" t="str">
        <f>"Gennaio-agosto "&amp;$D$3</f>
        <v>Gennaio-agosto 25</v>
      </c>
      <c r="F188" s="90"/>
    </row>
    <row r="189" spans="1:6" x14ac:dyDescent="0.2">
      <c r="A189" s="89"/>
      <c r="B189" s="112" t="s">
        <v>257</v>
      </c>
      <c r="C189" s="112" t="str">
        <f>"Januar-August "&amp;$D$3-1</f>
        <v>Januar-August 24</v>
      </c>
      <c r="D189" s="112" t="str">
        <f>"Schaner-avust "&amp;$D$3-1</f>
        <v>Schaner-avust 24</v>
      </c>
      <c r="E189" s="112" t="str">
        <f>"Gennaio-agosto "&amp;$D$3-1</f>
        <v>Gennaio-agosto 24</v>
      </c>
      <c r="F189" s="90"/>
    </row>
    <row r="190" spans="1:6" x14ac:dyDescent="0.2">
      <c r="A190" s="89"/>
      <c r="B190" s="90"/>
      <c r="C190" s="90"/>
      <c r="D190" s="90"/>
      <c r="E190" s="90"/>
      <c r="F190" s="90"/>
    </row>
    <row r="191" spans="1:6" ht="25.5" x14ac:dyDescent="0.2">
      <c r="A191" s="90"/>
      <c r="B191" s="88" t="s">
        <v>247</v>
      </c>
      <c r="C191" s="88" t="s">
        <v>594</v>
      </c>
      <c r="D191" s="88" t="s">
        <v>595</v>
      </c>
      <c r="E191" s="88" t="s">
        <v>596</v>
      </c>
      <c r="F191" s="90"/>
    </row>
    <row r="192" spans="1:6" x14ac:dyDescent="0.2">
      <c r="A192" s="90"/>
      <c r="B192" s="90"/>
      <c r="C192" s="90"/>
      <c r="D192" s="90"/>
      <c r="E192" s="90"/>
      <c r="F192" s="90"/>
    </row>
    <row r="193" spans="1:6" x14ac:dyDescent="0.2">
      <c r="A193" s="90"/>
      <c r="B193" s="88" t="s">
        <v>258</v>
      </c>
      <c r="C193" s="94" t="s">
        <v>642</v>
      </c>
      <c r="D193" s="94" t="s">
        <v>643</v>
      </c>
      <c r="E193" s="94" t="s">
        <v>644</v>
      </c>
      <c r="F193" s="90"/>
    </row>
    <row r="194" spans="1:6" ht="13.5" thickBot="1" x14ac:dyDescent="0.25">
      <c r="A194" s="105"/>
      <c r="B194" s="105"/>
      <c r="C194" s="105"/>
      <c r="D194" s="105"/>
      <c r="E194" s="105"/>
      <c r="F194" s="90"/>
    </row>
    <row r="195" spans="1:6" x14ac:dyDescent="0.2">
      <c r="A195" s="89"/>
      <c r="B195" s="92"/>
      <c r="C195" s="92"/>
      <c r="D195" s="90"/>
      <c r="E195" s="90"/>
      <c r="F195" s="90"/>
    </row>
    <row r="196" spans="1:6" ht="25.5" x14ac:dyDescent="0.2">
      <c r="A196" s="89" t="s">
        <v>259</v>
      </c>
      <c r="B196" s="112" t="s">
        <v>260</v>
      </c>
      <c r="C196" s="112" t="str">
        <f>"Hotel- und Kurbetriebe: Logiernächte im September "&amp;$C$3&amp;", nach Destinationen"</f>
        <v>Hotel- und Kurbetriebe: Logiernächte im September 2025, nach Destinationen</v>
      </c>
      <c r="D196" s="112" t="str">
        <f>"Manaschis d' hotel e da cura: pernottaziuns il september "&amp;$C$3&amp;", tenor destinaziuns"</f>
        <v>Manaschis d' hotel e da cura: pernottaziuns il september 2025, tenor destinaziuns</v>
      </c>
      <c r="E196" s="112" t="str">
        <f>"Alberghi e stabilimenti di cura: pernottamenti nel mese di settembre "&amp;$C$3&amp;", per destinazione"</f>
        <v>Alberghi e stabilimenti di cura: pernottamenti nel mese di settembre 2025, per destinazione</v>
      </c>
      <c r="F196" s="90"/>
    </row>
    <row r="197" spans="1:6" ht="25.5" x14ac:dyDescent="0.2">
      <c r="A197" s="89"/>
      <c r="B197" s="112" t="s">
        <v>261</v>
      </c>
      <c r="C197" s="112" t="str">
        <f>"Hotel- und Kurbetriebe: Logiernächte im September "&amp;$C$3&amp;", nach Herkunft"</f>
        <v>Hotel- und Kurbetriebe: Logiernächte im September 2025, nach Herkunft</v>
      </c>
      <c r="D197" s="112" t="str">
        <f>"Manaschis d' hotel e da cura: pernottaziuns il september "&amp;$C$3&amp;", tenor la derivanza"</f>
        <v>Manaschis d' hotel e da cura: pernottaziuns il september 2025, tenor la derivanza</v>
      </c>
      <c r="E197" s="112" t="str">
        <f>"Alberghi e stabilimenti di cura: pernottamenti nel mese di settembre "&amp;$C$3&amp;", per provenienza"</f>
        <v>Alberghi e stabilimenti di cura: pernottamenti nel mese di settembre 2025, per provenienza</v>
      </c>
      <c r="F197" s="90"/>
    </row>
    <row r="198" spans="1:6" ht="38.25" x14ac:dyDescent="0.2">
      <c r="A198" s="89"/>
      <c r="B198" s="112" t="s">
        <v>262</v>
      </c>
      <c r="C198" s="112" t="str">
        <f>"Hotel- und Kurbetriebe: Logiernächte im September "&amp;$C$3&amp;", nach Schweizer Tourismusregionen"</f>
        <v>Hotel- und Kurbetriebe: Logiernächte im September 2025, nach Schweizer Tourismusregionen</v>
      </c>
      <c r="D198" s="112" t="str">
        <f>"Manaschis d' hotel e da cura: pernottaziuns il september "&amp;$C$3&amp;", tenor regiuns turisticas svizras"</f>
        <v>Manaschis d' hotel e da cura: pernottaziuns il september 2025, tenor regiuns turisticas svizras</v>
      </c>
      <c r="E198" s="112" t="str">
        <f>"Alberghi e stabilimenti di cura: pernottamenti nel mese di settembre "&amp;$C$3&amp;", per regioni turistiche svizzere"</f>
        <v>Alberghi e stabilimenti di cura: pernottamenti nel mese di settembre 2025, per regioni turistiche svizzere</v>
      </c>
      <c r="F198" s="90"/>
    </row>
    <row r="199" spans="1:6" x14ac:dyDescent="0.2">
      <c r="A199" s="89"/>
      <c r="B199" s="89"/>
      <c r="C199" s="89"/>
      <c r="D199" s="89"/>
      <c r="E199" s="89"/>
      <c r="F199" s="90"/>
    </row>
    <row r="200" spans="1:6" x14ac:dyDescent="0.2">
      <c r="A200" s="89"/>
      <c r="B200" s="112" t="s">
        <v>263</v>
      </c>
      <c r="C200" s="112" t="str">
        <f>"September "&amp;$C$3</f>
        <v>September 2025</v>
      </c>
      <c r="D200" s="112" t="str">
        <f>"September "&amp;$C$3</f>
        <v>September 2025</v>
      </c>
      <c r="E200" s="112" t="str">
        <f>"Settembre "&amp;$C$3</f>
        <v>Settembre 2025</v>
      </c>
      <c r="F200" s="90"/>
    </row>
    <row r="201" spans="1:6" x14ac:dyDescent="0.2">
      <c r="A201" s="89"/>
      <c r="B201" s="112" t="s">
        <v>264</v>
      </c>
      <c r="C201" s="112" t="str">
        <f>"September "&amp;$C$3-1</f>
        <v>September 2024</v>
      </c>
      <c r="D201" s="112" t="str">
        <f>"September "&amp;$C$3-1</f>
        <v>September 2024</v>
      </c>
      <c r="E201" s="112" t="str">
        <f>"Settembre "&amp;$C$3-1</f>
        <v>Settembre 2024</v>
      </c>
      <c r="F201" s="90"/>
    </row>
    <row r="202" spans="1:6" x14ac:dyDescent="0.2">
      <c r="A202" s="89"/>
      <c r="B202" s="112" t="s">
        <v>265</v>
      </c>
      <c r="C202" s="112" t="str">
        <f>"Januar-September "&amp;$D$3</f>
        <v>Januar-September 25</v>
      </c>
      <c r="D202" s="112" t="str">
        <f>"Schaner-september "&amp;$D$3</f>
        <v>Schaner-september 25</v>
      </c>
      <c r="E202" s="112" t="str">
        <f>"Gennaio-settembre "&amp;$D$3</f>
        <v>Gennaio-settembre 25</v>
      </c>
      <c r="F202" s="90"/>
    </row>
    <row r="203" spans="1:6" x14ac:dyDescent="0.2">
      <c r="A203" s="89"/>
      <c r="B203" s="112" t="s">
        <v>266</v>
      </c>
      <c r="C203" s="112" t="str">
        <f>"Januar-September "&amp;$D$3-1</f>
        <v>Januar-September 24</v>
      </c>
      <c r="D203" s="112" t="str">
        <f>"Schaner-september "&amp;$D$3-1</f>
        <v>Schaner-september 24</v>
      </c>
      <c r="E203" s="112" t="str">
        <f>"Gennaio-settembre "&amp;$D$3-1</f>
        <v>Gennaio-settembre 24</v>
      </c>
      <c r="F203" s="90"/>
    </row>
    <row r="204" spans="1:6" x14ac:dyDescent="0.2">
      <c r="A204" s="89"/>
      <c r="B204" s="90"/>
      <c r="C204" s="90"/>
      <c r="D204" s="90"/>
      <c r="E204" s="90"/>
      <c r="F204" s="90"/>
    </row>
    <row r="205" spans="1:6" ht="25.5" x14ac:dyDescent="0.2">
      <c r="A205" s="90"/>
      <c r="B205" s="88" t="s">
        <v>267</v>
      </c>
      <c r="C205" s="88" t="s">
        <v>647</v>
      </c>
      <c r="D205" s="88" t="s">
        <v>645</v>
      </c>
      <c r="E205" s="88" t="s">
        <v>646</v>
      </c>
      <c r="F205" s="90"/>
    </row>
    <row r="206" spans="1:6" x14ac:dyDescent="0.2">
      <c r="A206" s="90"/>
      <c r="B206" s="90"/>
      <c r="C206" s="90"/>
      <c r="D206" s="90"/>
      <c r="E206" s="90"/>
      <c r="F206" s="90"/>
    </row>
    <row r="207" spans="1:6" x14ac:dyDescent="0.2">
      <c r="A207" s="90"/>
      <c r="B207" s="88" t="s">
        <v>268</v>
      </c>
      <c r="C207" s="94" t="s">
        <v>648</v>
      </c>
      <c r="D207" s="94" t="s">
        <v>649</v>
      </c>
      <c r="E207" s="94" t="s">
        <v>650</v>
      </c>
      <c r="F207" s="90"/>
    </row>
    <row r="208" spans="1:6" ht="13.5" thickBot="1" x14ac:dyDescent="0.25">
      <c r="A208" s="105"/>
      <c r="B208" s="105"/>
      <c r="C208" s="105"/>
      <c r="D208" s="105"/>
      <c r="E208" s="105"/>
      <c r="F208" s="90"/>
    </row>
    <row r="209" spans="1:6" ht="12.75" customHeight="1" x14ac:dyDescent="0.2">
      <c r="A209" s="89"/>
      <c r="B209" s="92"/>
      <c r="C209" s="92"/>
      <c r="D209" s="90"/>
      <c r="E209" s="90"/>
      <c r="F209" s="90"/>
    </row>
    <row r="210" spans="1:6" ht="12.75" customHeight="1" x14ac:dyDescent="0.2">
      <c r="A210" s="89" t="s">
        <v>269</v>
      </c>
      <c r="B210" s="112" t="s">
        <v>270</v>
      </c>
      <c r="C210" s="112" t="str">
        <f>"Hotel- und Kurbetriebe: Logiernächte im Oktober "&amp;$C$3&amp;", nach Destinationen"</f>
        <v>Hotel- und Kurbetriebe: Logiernächte im Oktober 2025, nach Destinationen</v>
      </c>
      <c r="D210" s="112" t="str">
        <f>"Manaschis d' hotel e da cura: pernottaziuns il oktober "&amp;$C$3&amp;", tenor destinaziuns"</f>
        <v>Manaschis d' hotel e da cura: pernottaziuns il oktober 2025, tenor destinaziuns</v>
      </c>
      <c r="E210" s="112" t="str">
        <f>"Alberghi e stabilimenti di cura: pernottamenti nel mese di ottobre "&amp;$C$3&amp;", per destinazione"</f>
        <v>Alberghi e stabilimenti di cura: pernottamenti nel mese di ottobre 2025, per destinazione</v>
      </c>
      <c r="F210" s="90"/>
    </row>
    <row r="211" spans="1:6" ht="12.75" customHeight="1" x14ac:dyDescent="0.2">
      <c r="A211" s="89"/>
      <c r="B211" s="112" t="s">
        <v>271</v>
      </c>
      <c r="C211" s="112" t="str">
        <f>"Hotel- und Kurbetriebe: Logiernächte im Oktober "&amp;$C$3&amp;", nach Herkunft"</f>
        <v>Hotel- und Kurbetriebe: Logiernächte im Oktober 2025, nach Herkunft</v>
      </c>
      <c r="D211" s="112" t="str">
        <f>"Manaschis d' hotel e da cura: pernottaziuns il oktober "&amp;$C$3&amp;", tenor la derivanza"</f>
        <v>Manaschis d' hotel e da cura: pernottaziuns il oktober 2025, tenor la derivanza</v>
      </c>
      <c r="E211" s="112" t="str">
        <f>"Alberghi e stabilimenti di cura: pernottamenti nel mese di ottobre "&amp;$C$3&amp;", per provenienza"</f>
        <v>Alberghi e stabilimenti di cura: pernottamenti nel mese di ottobre 2025, per provenienza</v>
      </c>
      <c r="F211" s="90"/>
    </row>
    <row r="212" spans="1:6" ht="12.75" customHeight="1" x14ac:dyDescent="0.2">
      <c r="A212" s="89"/>
      <c r="B212" s="112" t="s">
        <v>272</v>
      </c>
      <c r="C212" s="112" t="str">
        <f>"Hotel- und Kurbetriebe: Logiernächte im Oktober "&amp;$C$3&amp;", nach Schweizer Tourismusregionen"</f>
        <v>Hotel- und Kurbetriebe: Logiernächte im Oktober 2025, nach Schweizer Tourismusregionen</v>
      </c>
      <c r="D212" s="112" t="str">
        <f>"Manaschis d' hotel e da cura: pernottaziuns il oktober "&amp;$C$3&amp;", tenor regiuns turisticas svizras"</f>
        <v>Manaschis d' hotel e da cura: pernottaziuns il oktober 2025, tenor regiuns turisticas svizras</v>
      </c>
      <c r="E212" s="112" t="str">
        <f>"Alberghi e stabilimenti di cura: pernottamenti nel mese di ottobre "&amp;$C$3&amp;", per regioni turistiche svizzere"</f>
        <v>Alberghi e stabilimenti di cura: pernottamenti nel mese di ottobre 2025, per regioni turistiche svizzere</v>
      </c>
      <c r="F212" s="90"/>
    </row>
    <row r="213" spans="1:6" ht="12.75" customHeight="1" x14ac:dyDescent="0.2">
      <c r="A213" s="89"/>
      <c r="B213" s="89"/>
      <c r="C213" s="89"/>
      <c r="D213" s="89"/>
      <c r="E213" s="89"/>
      <c r="F213" s="90"/>
    </row>
    <row r="214" spans="1:6" ht="12.75" customHeight="1" x14ac:dyDescent="0.2">
      <c r="A214" s="89"/>
      <c r="B214" s="112" t="s">
        <v>273</v>
      </c>
      <c r="C214" s="112" t="str">
        <f>"Oktober "&amp;$C$3</f>
        <v>Oktober 2025</v>
      </c>
      <c r="D214" s="112" t="str">
        <f>"Oktober "&amp;$C$3</f>
        <v>Oktober 2025</v>
      </c>
      <c r="E214" s="112" t="str">
        <f>"Ottobre "&amp;$C$3</f>
        <v>Ottobre 2025</v>
      </c>
      <c r="F214" s="90"/>
    </row>
    <row r="215" spans="1:6" ht="12.75" customHeight="1" x14ac:dyDescent="0.2">
      <c r="A215" s="89"/>
      <c r="B215" s="112" t="s">
        <v>274</v>
      </c>
      <c r="C215" s="112" t="str">
        <f>"Oktober "&amp;$C$3-1</f>
        <v>Oktober 2024</v>
      </c>
      <c r="D215" s="112" t="str">
        <f>"Oktober "&amp;$C$3-1</f>
        <v>Oktober 2024</v>
      </c>
      <c r="E215" s="112" t="str">
        <f>"Ottobre "&amp;$C$3-1</f>
        <v>Ottobre 2024</v>
      </c>
      <c r="F215" s="90"/>
    </row>
    <row r="216" spans="1:6" ht="12.75" customHeight="1" x14ac:dyDescent="0.2">
      <c r="A216" s="89"/>
      <c r="B216" s="112" t="s">
        <v>275</v>
      </c>
      <c r="C216" s="112" t="str">
        <f>"Januar-Oktober "&amp;$D$3</f>
        <v>Januar-Oktober 25</v>
      </c>
      <c r="D216" s="112" t="str">
        <f>"Schaner-oktober "&amp;$D$3</f>
        <v>Schaner-oktober 25</v>
      </c>
      <c r="E216" s="112" t="str">
        <f>"Gennaio-ottobre "&amp;$D$3</f>
        <v>Gennaio-ottobre 25</v>
      </c>
      <c r="F216" s="90"/>
    </row>
    <row r="217" spans="1:6" ht="25.5" x14ac:dyDescent="0.2">
      <c r="A217" s="89"/>
      <c r="B217" s="112" t="s">
        <v>276</v>
      </c>
      <c r="C217" s="112" t="str">
        <f>"Januar-Oktober "&amp;$D$3-1</f>
        <v>Januar-Oktober 24</v>
      </c>
      <c r="D217" s="112" t="str">
        <f>"Schaner-oktober "&amp;$D$3-1</f>
        <v>Schaner-oktober 24</v>
      </c>
      <c r="E217" s="112" t="str">
        <f>"Gennaio-ottobre "&amp;$D$3-1</f>
        <v>Gennaio-ottobre 24</v>
      </c>
      <c r="F217" s="90"/>
    </row>
    <row r="218" spans="1:6" x14ac:dyDescent="0.2">
      <c r="A218" s="89"/>
      <c r="B218" s="90"/>
      <c r="C218" s="90"/>
      <c r="D218" s="90"/>
      <c r="E218" s="90"/>
      <c r="F218" s="90"/>
    </row>
    <row r="219" spans="1:6" ht="25.5" x14ac:dyDescent="0.2">
      <c r="A219" s="90"/>
      <c r="B219" s="88" t="s">
        <v>277</v>
      </c>
      <c r="C219" s="88" t="s">
        <v>654</v>
      </c>
      <c r="D219" s="88" t="s">
        <v>655</v>
      </c>
      <c r="E219" s="88" t="s">
        <v>656</v>
      </c>
      <c r="F219" s="90"/>
    </row>
    <row r="220" spans="1:6" x14ac:dyDescent="0.2">
      <c r="A220" s="90"/>
      <c r="B220" s="90"/>
      <c r="C220" s="90"/>
      <c r="D220" s="90"/>
      <c r="E220" s="90"/>
      <c r="F220" s="90"/>
    </row>
    <row r="221" spans="1:6" ht="25.5" x14ac:dyDescent="0.2">
      <c r="A221" s="90"/>
      <c r="B221" s="88" t="s">
        <v>278</v>
      </c>
      <c r="C221" s="94" t="s">
        <v>651</v>
      </c>
      <c r="D221" s="94" t="s">
        <v>652</v>
      </c>
      <c r="E221" s="94" t="s">
        <v>653</v>
      </c>
      <c r="F221" s="90"/>
    </row>
    <row r="222" spans="1:6" ht="12.75" customHeight="1" thickBot="1" x14ac:dyDescent="0.25">
      <c r="A222" s="105"/>
      <c r="B222" s="105"/>
      <c r="C222" s="105"/>
      <c r="D222" s="105"/>
      <c r="E222" s="105"/>
      <c r="F222" s="90"/>
    </row>
    <row r="223" spans="1:6" ht="12.75" customHeight="1" x14ac:dyDescent="0.2">
      <c r="A223" s="89"/>
      <c r="B223" s="92"/>
      <c r="C223" s="92"/>
      <c r="D223" s="90"/>
      <c r="E223" s="90"/>
      <c r="F223" s="90"/>
    </row>
    <row r="224" spans="1:6" ht="12.75" customHeight="1" x14ac:dyDescent="0.2">
      <c r="A224" s="89" t="s">
        <v>279</v>
      </c>
      <c r="B224" s="112" t="s">
        <v>280</v>
      </c>
      <c r="C224" s="112" t="str">
        <f>"Hotel- und Kurbetriebe: Logiernächte im November "&amp;$C$3&amp;", nach Destinationen"</f>
        <v>Hotel- und Kurbetriebe: Logiernächte im November 2025, nach Destinationen</v>
      </c>
      <c r="D224" s="112" t="str">
        <f>"Manaschis d' hotel e da cura: pernottaziuns il november "&amp;$C$3&amp;", tenor destinaziuns"</f>
        <v>Manaschis d' hotel e da cura: pernottaziuns il november 2025, tenor destinaziuns</v>
      </c>
      <c r="E224" s="112" t="str">
        <f>"Alberghi e stabilimenti di cura: pernottamenti nel mese di novembre "&amp;$C$3&amp;", per destinazione"</f>
        <v>Alberghi e stabilimenti di cura: pernottamenti nel mese di novembre 2025, per destinazione</v>
      </c>
      <c r="F224" s="90"/>
    </row>
    <row r="225" spans="1:6" ht="12.75" customHeight="1" x14ac:dyDescent="0.2">
      <c r="A225" s="89"/>
      <c r="B225" s="112" t="s">
        <v>281</v>
      </c>
      <c r="C225" s="112" t="str">
        <f>"Hotel- und Kurbetriebe: Logiernächte im November "&amp;$C$3&amp;", nach Herkunft"</f>
        <v>Hotel- und Kurbetriebe: Logiernächte im November 2025, nach Herkunft</v>
      </c>
      <c r="D225" s="112" t="str">
        <f>"Manaschis d' hotel e da cura: pernottaziuns il november "&amp;$C$3&amp;", tenor la derivanza"</f>
        <v>Manaschis d' hotel e da cura: pernottaziuns il november 2025, tenor la derivanza</v>
      </c>
      <c r="E225" s="112" t="str">
        <f>"Alberghi e stabilimenti di cura: pernottamenti nel mese di novembre "&amp;$C$3&amp;", per provenienza"</f>
        <v>Alberghi e stabilimenti di cura: pernottamenti nel mese di novembre 2025, per provenienza</v>
      </c>
      <c r="F225" s="90"/>
    </row>
    <row r="226" spans="1:6" ht="12.75" customHeight="1" x14ac:dyDescent="0.2">
      <c r="A226" s="89"/>
      <c r="B226" s="112" t="s">
        <v>282</v>
      </c>
      <c r="C226" s="112" t="str">
        <f>"Hotel- und Kurbetriebe: Logiernächte im November "&amp;$C$3&amp;", nach Schweizer Tourismusregionen"</f>
        <v>Hotel- und Kurbetriebe: Logiernächte im November 2025, nach Schweizer Tourismusregionen</v>
      </c>
      <c r="D226" s="112" t="str">
        <f>"Manaschis d' hotel e da cura: pernottaziuns il november "&amp;$C$3&amp;", tenor regiuns turisticas svizras"</f>
        <v>Manaschis d' hotel e da cura: pernottaziuns il november 2025, tenor regiuns turisticas svizras</v>
      </c>
      <c r="E226" s="112" t="str">
        <f>"Alberghi e stabilimenti di cura: pernottamenti nel mese di novembre "&amp;$C$3&amp;", per regioni turistiche svizzere"</f>
        <v>Alberghi e stabilimenti di cura: pernottamenti nel mese di novembre 2025, per regioni turistiche svizzere</v>
      </c>
      <c r="F226" s="90"/>
    </row>
    <row r="227" spans="1:6" ht="12.75" customHeight="1" x14ac:dyDescent="0.2">
      <c r="A227" s="89"/>
      <c r="B227" s="89"/>
      <c r="C227" s="89"/>
      <c r="D227" s="89"/>
      <c r="E227" s="89"/>
      <c r="F227" s="90"/>
    </row>
    <row r="228" spans="1:6" ht="12.75" customHeight="1" x14ac:dyDescent="0.2">
      <c r="A228" s="89"/>
      <c r="B228" s="112" t="s">
        <v>283</v>
      </c>
      <c r="C228" s="112" t="str">
        <f>"November "&amp;$C$3</f>
        <v>November 2025</v>
      </c>
      <c r="D228" s="112" t="str">
        <f>"November "&amp;$C$3</f>
        <v>November 2025</v>
      </c>
      <c r="E228" s="112" t="str">
        <f>"Novembre "&amp;$C$3</f>
        <v>Novembre 2025</v>
      </c>
      <c r="F228" s="90"/>
    </row>
    <row r="229" spans="1:6" ht="12.75" customHeight="1" x14ac:dyDescent="0.2">
      <c r="A229" s="89"/>
      <c r="B229" s="112" t="s">
        <v>284</v>
      </c>
      <c r="C229" s="112" t="str">
        <f>"November "&amp;$C$3-1</f>
        <v>November 2024</v>
      </c>
      <c r="D229" s="112" t="str">
        <f>"November "&amp;$C$3-1</f>
        <v>November 2024</v>
      </c>
      <c r="E229" s="112" t="str">
        <f>"Novembre "&amp;$C$3-1</f>
        <v>Novembre 2024</v>
      </c>
      <c r="F229" s="90"/>
    </row>
    <row r="230" spans="1:6" ht="12.75" customHeight="1" x14ac:dyDescent="0.2">
      <c r="A230" s="89"/>
      <c r="B230" s="112" t="s">
        <v>285</v>
      </c>
      <c r="C230" s="112" t="str">
        <f>"Januar-November "&amp;$D$3</f>
        <v>Januar-November 25</v>
      </c>
      <c r="D230" s="112" t="str">
        <f>"Schaner-november "&amp;$D$3</f>
        <v>Schaner-november 25</v>
      </c>
      <c r="E230" s="112" t="str">
        <f>"Gennaio-novembre "&amp;$D$3</f>
        <v>Gennaio-novembre 25</v>
      </c>
      <c r="F230" s="90"/>
    </row>
    <row r="231" spans="1:6" ht="25.5" x14ac:dyDescent="0.2">
      <c r="A231" s="89"/>
      <c r="B231" s="112" t="s">
        <v>286</v>
      </c>
      <c r="C231" s="112" t="str">
        <f>"Januar-November "&amp;$D$3-1</f>
        <v>Januar-November 24</v>
      </c>
      <c r="D231" s="112" t="str">
        <f>"Schaner-november "&amp;$D$3-1</f>
        <v>Schaner-november 24</v>
      </c>
      <c r="E231" s="112" t="str">
        <f>"Gennaio-novembre "&amp;$D$3-1</f>
        <v>Gennaio-novembre 24</v>
      </c>
      <c r="F231" s="90"/>
    </row>
    <row r="232" spans="1:6" x14ac:dyDescent="0.2">
      <c r="A232" s="89"/>
      <c r="B232" s="90"/>
      <c r="C232" s="90"/>
      <c r="D232" s="90"/>
      <c r="E232" s="90"/>
      <c r="F232" s="90"/>
    </row>
    <row r="233" spans="1:6" ht="25.5" x14ac:dyDescent="0.2">
      <c r="A233" s="90"/>
      <c r="B233" s="88" t="s">
        <v>287</v>
      </c>
      <c r="C233" s="88" t="s">
        <v>600</v>
      </c>
      <c r="D233" s="88" t="s">
        <v>601</v>
      </c>
      <c r="E233" s="88" t="s">
        <v>602</v>
      </c>
      <c r="F233" s="90"/>
    </row>
    <row r="234" spans="1:6" x14ac:dyDescent="0.2">
      <c r="A234" s="90"/>
      <c r="B234" s="90"/>
      <c r="C234" s="90"/>
      <c r="D234" s="90"/>
      <c r="E234" s="90"/>
      <c r="F234" s="90"/>
    </row>
    <row r="235" spans="1:6" ht="25.5" x14ac:dyDescent="0.2">
      <c r="A235" s="90"/>
      <c r="B235" s="88" t="s">
        <v>288</v>
      </c>
      <c r="C235" s="94" t="s">
        <v>597</v>
      </c>
      <c r="D235" s="94" t="s">
        <v>598</v>
      </c>
      <c r="E235" s="94" t="s">
        <v>599</v>
      </c>
      <c r="F235" s="90"/>
    </row>
    <row r="236" spans="1:6" ht="12.75" customHeight="1" thickBot="1" x14ac:dyDescent="0.25">
      <c r="A236" s="105"/>
      <c r="B236" s="105"/>
      <c r="C236" s="105"/>
      <c r="D236" s="105"/>
      <c r="E236" s="105"/>
      <c r="F236" s="90"/>
    </row>
    <row r="237" spans="1:6" ht="12.75" customHeight="1" x14ac:dyDescent="0.2">
      <c r="A237" s="89"/>
      <c r="B237" s="92"/>
      <c r="C237" s="92"/>
      <c r="D237" s="90"/>
      <c r="E237" s="90"/>
      <c r="F237" s="90"/>
    </row>
    <row r="238" spans="1:6" ht="12.75" customHeight="1" x14ac:dyDescent="0.2">
      <c r="A238" s="89" t="s">
        <v>298</v>
      </c>
      <c r="B238" s="112" t="s">
        <v>289</v>
      </c>
      <c r="C238" s="112" t="str">
        <f>"Hotel- und Kurbetriebe: Logiernächte im Dezember "&amp;$C$3&amp;", nach Destinationen"</f>
        <v>Hotel- und Kurbetriebe: Logiernächte im Dezember 2025, nach Destinationen</v>
      </c>
      <c r="D238" s="112" t="str">
        <f>"Manaschis d' hotel e da cura: pernottaziuns il dezember "&amp;$C$3&amp;", tenor destinaziuns"</f>
        <v>Manaschis d' hotel e da cura: pernottaziuns il dezember 2025, tenor destinaziuns</v>
      </c>
      <c r="E238" s="112" t="str">
        <f>"Alberghi e stabilimenti di cura: pernottamenti nel mese di dicembre "&amp;$C$3&amp;", per destinazione"</f>
        <v>Alberghi e stabilimenti di cura: pernottamenti nel mese di dicembre 2025, per destinazione</v>
      </c>
      <c r="F238" s="90"/>
    </row>
    <row r="239" spans="1:6" ht="12.75" customHeight="1" x14ac:dyDescent="0.2">
      <c r="A239" s="89"/>
      <c r="B239" s="112" t="s">
        <v>290</v>
      </c>
      <c r="C239" s="112" t="str">
        <f>"Hotel- und Kurbetriebe: Logiernächte im Dezember "&amp;$C$3&amp;", nach Herkunft"</f>
        <v>Hotel- und Kurbetriebe: Logiernächte im Dezember 2025, nach Herkunft</v>
      </c>
      <c r="D239" s="112" t="str">
        <f>"Manaschis d' hotel e da cura: pernottaziuns il dezember "&amp;$C$3&amp;", tenor la derivanza"</f>
        <v>Manaschis d' hotel e da cura: pernottaziuns il dezember 2025, tenor la derivanza</v>
      </c>
      <c r="E239" s="112" t="str">
        <f>"Alberghi e stabilimenti di cura: pernottamenti nel mese di dicembre "&amp;$C$3&amp;", per provenienza"</f>
        <v>Alberghi e stabilimenti di cura: pernottamenti nel mese di dicembre 2025, per provenienza</v>
      </c>
      <c r="F239" s="90"/>
    </row>
    <row r="240" spans="1:6" ht="12.75" customHeight="1" x14ac:dyDescent="0.2">
      <c r="A240" s="89"/>
      <c r="B240" s="112" t="s">
        <v>291</v>
      </c>
      <c r="C240" s="112" t="str">
        <f>"Hotel- und Kurbetriebe: Logiernächte im Dezember "&amp;$C$3&amp;", nach Schweizer Tourismusregionen"</f>
        <v>Hotel- und Kurbetriebe: Logiernächte im Dezember 2025, nach Schweizer Tourismusregionen</v>
      </c>
      <c r="D240" s="112" t="str">
        <f>"Manaschis d' hotel e da cura: pernottaziuns il dezember "&amp;$C$3&amp;", tenor regiuns turisticas svizras"</f>
        <v>Manaschis d' hotel e da cura: pernottaziuns il dezember 2025, tenor regiuns turisticas svizras</v>
      </c>
      <c r="E240" s="112" t="str">
        <f>"Alberghi e stabilimenti di cura: pernottamenti nel mese di dicembre "&amp;$C$3&amp;", per regioni turistiche svizzere"</f>
        <v>Alberghi e stabilimenti di cura: pernottamenti nel mese di dicembre 2025, per regioni turistiche svizzere</v>
      </c>
      <c r="F240" s="90"/>
    </row>
    <row r="241" spans="1:6" ht="12.75" customHeight="1" x14ac:dyDescent="0.2">
      <c r="A241" s="89"/>
      <c r="B241" s="89"/>
      <c r="C241" s="89"/>
      <c r="D241" s="89"/>
      <c r="E241" s="89"/>
      <c r="F241" s="90"/>
    </row>
    <row r="242" spans="1:6" ht="12.75" customHeight="1" x14ac:dyDescent="0.2">
      <c r="A242" s="89"/>
      <c r="B242" s="112" t="s">
        <v>292</v>
      </c>
      <c r="C242" s="112" t="str">
        <f>"Dezember "&amp;$C$3</f>
        <v>Dezember 2025</v>
      </c>
      <c r="D242" s="112" t="str">
        <f>"Dezember "&amp;$C$3</f>
        <v>Dezember 2025</v>
      </c>
      <c r="E242" s="112" t="str">
        <f>"Dicembre "&amp;$C$3</f>
        <v>Dicembre 2025</v>
      </c>
      <c r="F242" s="90"/>
    </row>
    <row r="243" spans="1:6" ht="12.75" customHeight="1" x14ac:dyDescent="0.2">
      <c r="A243" s="89"/>
      <c r="B243" s="112" t="s">
        <v>293</v>
      </c>
      <c r="C243" s="112" t="str">
        <f>"Dezember "&amp;$C$3-1</f>
        <v>Dezember 2024</v>
      </c>
      <c r="D243" s="112" t="str">
        <f>"Dezember "&amp;$C$3-1</f>
        <v>Dezember 2024</v>
      </c>
      <c r="E243" s="112" t="str">
        <f>"Dicembre "&amp;$C$3-1</f>
        <v>Dicembre 2024</v>
      </c>
      <c r="F243" s="90"/>
    </row>
    <row r="244" spans="1:6" ht="12.75" customHeight="1" x14ac:dyDescent="0.2">
      <c r="A244" s="89"/>
      <c r="B244" s="112" t="s">
        <v>294</v>
      </c>
      <c r="C244" s="112" t="str">
        <f>"Januar-Dezember "&amp;$D$3</f>
        <v>Januar-Dezember 25</v>
      </c>
      <c r="D244" s="112" t="str">
        <f>"Schaner-dezember "&amp;$D$3</f>
        <v>Schaner-dezember 25</v>
      </c>
      <c r="E244" s="112" t="str">
        <f>"Gennaio-dicembre "&amp;$D$3</f>
        <v>Gennaio-dicembre 25</v>
      </c>
      <c r="F244" s="90"/>
    </row>
    <row r="245" spans="1:6" ht="25.5" x14ac:dyDescent="0.2">
      <c r="A245" s="89"/>
      <c r="B245" s="112" t="s">
        <v>295</v>
      </c>
      <c r="C245" s="112" t="str">
        <f>"Januar-Dezember "&amp;$D$3-1</f>
        <v>Januar-Dezember 24</v>
      </c>
      <c r="D245" s="112" t="str">
        <f>"Schaner-dezember "&amp;$D$3-1</f>
        <v>Schaner-dezember 24</v>
      </c>
      <c r="E245" s="112" t="str">
        <f>"Gennaio-dicembre "&amp;$D$3-1</f>
        <v>Gennaio-dicembre 24</v>
      </c>
      <c r="F245" s="90"/>
    </row>
    <row r="246" spans="1:6" x14ac:dyDescent="0.2">
      <c r="A246" s="89"/>
      <c r="B246" s="90"/>
      <c r="C246" s="90"/>
      <c r="D246" s="90"/>
      <c r="E246" s="90"/>
      <c r="F246" s="90"/>
    </row>
    <row r="247" spans="1:6" ht="25.5" x14ac:dyDescent="0.2">
      <c r="A247" s="90"/>
      <c r="B247" s="88" t="s">
        <v>296</v>
      </c>
      <c r="C247" s="88" t="s">
        <v>603</v>
      </c>
      <c r="D247" s="88" t="s">
        <v>604</v>
      </c>
      <c r="E247" s="88" t="s">
        <v>605</v>
      </c>
      <c r="F247" s="90"/>
    </row>
    <row r="248" spans="1:6" x14ac:dyDescent="0.2">
      <c r="A248" s="90"/>
      <c r="B248" s="90"/>
      <c r="C248" s="90"/>
      <c r="D248" s="90"/>
      <c r="E248" s="90"/>
      <c r="F248" s="90"/>
    </row>
    <row r="249" spans="1:6" ht="25.5" x14ac:dyDescent="0.2">
      <c r="A249" s="90"/>
      <c r="B249" s="88" t="s">
        <v>297</v>
      </c>
      <c r="C249" s="94" t="s">
        <v>597</v>
      </c>
      <c r="D249" s="94" t="s">
        <v>598</v>
      </c>
      <c r="E249" s="94" t="s">
        <v>599</v>
      </c>
      <c r="F249" s="90"/>
    </row>
    <row r="250" spans="1:6" x14ac:dyDescent="0.2">
      <c r="A250" s="90"/>
      <c r="B250" s="90"/>
      <c r="C250" s="90"/>
      <c r="D250" s="90"/>
      <c r="E250" s="90"/>
      <c r="F250" s="90"/>
    </row>
    <row r="251" spans="1:6" x14ac:dyDescent="0.2">
      <c r="A251" s="89"/>
      <c r="B251" s="92"/>
      <c r="C251" s="92"/>
      <c r="D251" s="90"/>
      <c r="E251" s="90"/>
      <c r="F251" s="90"/>
    </row>
    <row r="252" spans="1:6" ht="12.75" customHeight="1" x14ac:dyDescent="0.2">
      <c r="A252" s="89"/>
      <c r="B252" s="92"/>
      <c r="C252" s="92"/>
      <c r="D252" s="90"/>
      <c r="E252" s="90"/>
      <c r="F252" s="90"/>
    </row>
    <row r="253" spans="1:6" ht="12.75" customHeight="1" x14ac:dyDescent="0.2">
      <c r="A253" s="89" t="s">
        <v>370</v>
      </c>
      <c r="B253" s="112" t="s">
        <v>371</v>
      </c>
      <c r="C253" s="70" t="s">
        <v>367</v>
      </c>
      <c r="D253" s="70" t="s">
        <v>369</v>
      </c>
      <c r="E253" s="93" t="s">
        <v>368</v>
      </c>
      <c r="F253" s="90"/>
    </row>
    <row r="254" spans="1:6" ht="12.75" customHeight="1" x14ac:dyDescent="0.2">
      <c r="A254" s="89"/>
      <c r="B254" s="112" t="s">
        <v>372</v>
      </c>
      <c r="C254" s="112"/>
      <c r="D254" s="112"/>
      <c r="E254" s="112"/>
      <c r="F254" s="90"/>
    </row>
    <row r="255" spans="1:6" ht="12.75" customHeight="1" x14ac:dyDescent="0.2">
      <c r="A255" s="89"/>
      <c r="B255" s="112" t="s">
        <v>373</v>
      </c>
      <c r="C255" s="112"/>
      <c r="D255" s="112"/>
      <c r="E255" s="112"/>
      <c r="F255" s="90"/>
    </row>
    <row r="256" spans="1:6" ht="12.75" customHeight="1" x14ac:dyDescent="0.2">
      <c r="A256" s="89"/>
      <c r="B256" s="89"/>
      <c r="C256" s="89"/>
      <c r="D256" s="89"/>
      <c r="E256" s="89"/>
      <c r="F256" s="90"/>
    </row>
    <row r="257" spans="1:6" ht="12.75" customHeight="1" x14ac:dyDescent="0.2">
      <c r="A257" s="89"/>
      <c r="B257" s="112" t="s">
        <v>374</v>
      </c>
      <c r="C257" s="112" t="s">
        <v>381</v>
      </c>
      <c r="D257" s="112" t="s">
        <v>382</v>
      </c>
      <c r="E257" s="112" t="s">
        <v>383</v>
      </c>
      <c r="F257" s="90"/>
    </row>
    <row r="258" spans="1:6" ht="12.75" customHeight="1" x14ac:dyDescent="0.2">
      <c r="A258" s="89"/>
      <c r="B258" s="112" t="s">
        <v>375</v>
      </c>
      <c r="C258" s="112" t="s">
        <v>378</v>
      </c>
      <c r="D258" s="112" t="s">
        <v>379</v>
      </c>
      <c r="E258" s="112" t="s">
        <v>380</v>
      </c>
      <c r="F258" s="90"/>
    </row>
    <row r="259" spans="1:6" ht="12.75" customHeight="1" x14ac:dyDescent="0.2">
      <c r="A259" s="89"/>
      <c r="B259" s="112" t="s">
        <v>376</v>
      </c>
      <c r="C259" s="112"/>
      <c r="D259" s="112"/>
      <c r="E259" s="112"/>
      <c r="F259" s="90"/>
    </row>
    <row r="260" spans="1:6" ht="25.5" x14ac:dyDescent="0.2">
      <c r="A260" s="89"/>
      <c r="B260" s="112" t="s">
        <v>377</v>
      </c>
      <c r="C260" s="112"/>
      <c r="D260" s="112"/>
      <c r="E260" s="112"/>
      <c r="F260" s="90"/>
    </row>
    <row r="261" spans="1:6" x14ac:dyDescent="0.2">
      <c r="A261" s="89"/>
      <c r="B261" s="90"/>
      <c r="C261" s="90"/>
      <c r="D261" s="90"/>
      <c r="E261" s="90"/>
      <c r="F261" s="90"/>
    </row>
    <row r="262" spans="1:6" x14ac:dyDescent="0.2">
      <c r="A262" s="89" t="s">
        <v>58</v>
      </c>
      <c r="B262" s="70" t="s">
        <v>384</v>
      </c>
      <c r="C262" s="70" t="s">
        <v>387</v>
      </c>
      <c r="D262" s="70" t="s">
        <v>489</v>
      </c>
      <c r="E262" s="70" t="s">
        <v>445</v>
      </c>
      <c r="F262" s="90"/>
    </row>
    <row r="263" spans="1:6" x14ac:dyDescent="0.2">
      <c r="A263" s="90"/>
      <c r="B263" s="70" t="s">
        <v>385</v>
      </c>
      <c r="C263" s="70" t="s">
        <v>388</v>
      </c>
      <c r="D263" s="70" t="s">
        <v>446</v>
      </c>
      <c r="E263" s="70" t="s">
        <v>446</v>
      </c>
      <c r="F263" s="90"/>
    </row>
    <row r="264" spans="1:6" x14ac:dyDescent="0.2">
      <c r="A264" s="90"/>
      <c r="B264" s="70" t="s">
        <v>386</v>
      </c>
      <c r="C264" s="70" t="s">
        <v>308</v>
      </c>
      <c r="D264" s="70" t="s">
        <v>325</v>
      </c>
      <c r="E264" s="70" t="s">
        <v>325</v>
      </c>
      <c r="F264" s="90"/>
    </row>
    <row r="265" spans="1:6" x14ac:dyDescent="0.2">
      <c r="A265" s="90"/>
      <c r="B265" s="70" t="s">
        <v>443</v>
      </c>
      <c r="C265" s="70" t="s">
        <v>389</v>
      </c>
      <c r="D265" s="70" t="s">
        <v>389</v>
      </c>
      <c r="E265" s="70" t="s">
        <v>447</v>
      </c>
      <c r="F265" s="90"/>
    </row>
    <row r="266" spans="1:6" x14ac:dyDescent="0.2">
      <c r="A266" s="90"/>
      <c r="B266" s="70" t="s">
        <v>444</v>
      </c>
      <c r="C266" s="70" t="s">
        <v>390</v>
      </c>
      <c r="D266" s="70" t="s">
        <v>448</v>
      </c>
      <c r="E266" s="70" t="s">
        <v>448</v>
      </c>
      <c r="F266" s="90"/>
    </row>
    <row r="267" spans="1:6" x14ac:dyDescent="0.2">
      <c r="A267" s="90"/>
      <c r="B267" s="70" t="s">
        <v>511</v>
      </c>
      <c r="C267" s="70" t="s">
        <v>17</v>
      </c>
      <c r="D267" s="70" t="s">
        <v>143</v>
      </c>
      <c r="E267" s="70" t="s">
        <v>154</v>
      </c>
      <c r="F267" s="90"/>
    </row>
    <row r="268" spans="1:6" x14ac:dyDescent="0.2">
      <c r="A268" s="90"/>
      <c r="B268" s="70" t="s">
        <v>512</v>
      </c>
      <c r="C268" s="70" t="s">
        <v>22</v>
      </c>
      <c r="D268" s="70" t="s">
        <v>149</v>
      </c>
      <c r="E268" s="70" t="s">
        <v>159</v>
      </c>
      <c r="F268" s="90"/>
    </row>
    <row r="269" spans="1:6" x14ac:dyDescent="0.2">
      <c r="A269" s="90"/>
      <c r="B269" s="70" t="s">
        <v>513</v>
      </c>
      <c r="C269" s="70" t="s">
        <v>391</v>
      </c>
      <c r="D269" s="70" t="s">
        <v>449</v>
      </c>
      <c r="E269" s="70" t="s">
        <v>449</v>
      </c>
      <c r="F269" s="90"/>
    </row>
    <row r="270" spans="1:6" x14ac:dyDescent="0.2">
      <c r="A270" s="90"/>
      <c r="B270" s="70" t="s">
        <v>514</v>
      </c>
      <c r="C270" s="70" t="s">
        <v>392</v>
      </c>
      <c r="D270" s="70" t="s">
        <v>392</v>
      </c>
      <c r="E270" s="70" t="s">
        <v>450</v>
      </c>
      <c r="F270" s="90"/>
    </row>
    <row r="271" spans="1:6" x14ac:dyDescent="0.2">
      <c r="A271" s="90"/>
      <c r="B271" s="70" t="s">
        <v>515</v>
      </c>
      <c r="C271" s="70" t="s">
        <v>311</v>
      </c>
      <c r="D271" s="70" t="s">
        <v>311</v>
      </c>
      <c r="E271" s="70" t="s">
        <v>328</v>
      </c>
      <c r="F271" s="90"/>
    </row>
    <row r="272" spans="1:6" x14ac:dyDescent="0.2">
      <c r="A272" s="90"/>
      <c r="B272" s="70" t="s">
        <v>516</v>
      </c>
      <c r="C272" s="70" t="s">
        <v>353</v>
      </c>
      <c r="D272" s="70" t="s">
        <v>359</v>
      </c>
      <c r="E272" s="70" t="s">
        <v>363</v>
      </c>
      <c r="F272" s="90"/>
    </row>
    <row r="273" spans="1:6" x14ac:dyDescent="0.2">
      <c r="A273" s="90"/>
      <c r="B273" s="70" t="s">
        <v>517</v>
      </c>
      <c r="C273" s="70" t="s">
        <v>14</v>
      </c>
      <c r="D273" s="70" t="s">
        <v>138</v>
      </c>
      <c r="E273" s="70" t="s">
        <v>138</v>
      </c>
      <c r="F273" s="90"/>
    </row>
    <row r="274" spans="1:6" x14ac:dyDescent="0.2">
      <c r="A274" s="90"/>
      <c r="B274" s="70" t="s">
        <v>518</v>
      </c>
      <c r="C274" s="70" t="s">
        <v>393</v>
      </c>
      <c r="D274" s="70" t="s">
        <v>451</v>
      </c>
      <c r="E274" s="70" t="s">
        <v>451</v>
      </c>
      <c r="F274" s="90"/>
    </row>
    <row r="275" spans="1:6" x14ac:dyDescent="0.2">
      <c r="A275" s="90"/>
      <c r="B275" s="70" t="s">
        <v>519</v>
      </c>
      <c r="C275" s="70" t="s">
        <v>394</v>
      </c>
      <c r="D275" s="70" t="s">
        <v>490</v>
      </c>
      <c r="E275" s="70" t="s">
        <v>452</v>
      </c>
      <c r="F275" s="90"/>
    </row>
    <row r="276" spans="1:6" x14ac:dyDescent="0.2">
      <c r="A276" s="90"/>
      <c r="B276" s="70" t="s">
        <v>520</v>
      </c>
      <c r="C276" s="70" t="s">
        <v>18</v>
      </c>
      <c r="D276" s="70" t="s">
        <v>140</v>
      </c>
      <c r="E276" s="70" t="s">
        <v>152</v>
      </c>
      <c r="F276" s="90"/>
    </row>
    <row r="277" spans="1:6" x14ac:dyDescent="0.2">
      <c r="A277" s="90"/>
      <c r="B277" s="70" t="s">
        <v>521</v>
      </c>
      <c r="C277" s="70" t="s">
        <v>395</v>
      </c>
      <c r="D277" s="70" t="s">
        <v>491</v>
      </c>
      <c r="E277" s="70" t="s">
        <v>453</v>
      </c>
      <c r="F277" s="90"/>
    </row>
    <row r="278" spans="1:6" x14ac:dyDescent="0.2">
      <c r="A278" s="90"/>
      <c r="B278" s="70" t="s">
        <v>522</v>
      </c>
      <c r="C278" s="70" t="s">
        <v>396</v>
      </c>
      <c r="D278" s="70" t="s">
        <v>396</v>
      </c>
      <c r="E278" s="70" t="s">
        <v>454</v>
      </c>
      <c r="F278" s="90"/>
    </row>
    <row r="279" spans="1:6" x14ac:dyDescent="0.2">
      <c r="A279" s="90"/>
      <c r="B279" s="70" t="s">
        <v>523</v>
      </c>
      <c r="C279" s="70" t="s">
        <v>312</v>
      </c>
      <c r="D279" s="70" t="s">
        <v>455</v>
      </c>
      <c r="E279" s="70" t="s">
        <v>455</v>
      </c>
      <c r="F279" s="90"/>
    </row>
    <row r="280" spans="1:6" x14ac:dyDescent="0.2">
      <c r="A280" s="90"/>
      <c r="B280" s="70" t="s">
        <v>524</v>
      </c>
      <c r="C280" s="70" t="s">
        <v>397</v>
      </c>
      <c r="D280" s="70" t="s">
        <v>456</v>
      </c>
      <c r="E280" s="70" t="s">
        <v>456</v>
      </c>
      <c r="F280" s="90"/>
    </row>
    <row r="281" spans="1:6" x14ac:dyDescent="0.2">
      <c r="A281" s="90"/>
      <c r="B281" s="70" t="s">
        <v>526</v>
      </c>
      <c r="C281" s="70" t="s">
        <v>398</v>
      </c>
      <c r="D281" s="70" t="s">
        <v>398</v>
      </c>
      <c r="E281" s="70" t="s">
        <v>398</v>
      </c>
      <c r="F281" s="90"/>
    </row>
    <row r="282" spans="1:6" x14ac:dyDescent="0.2">
      <c r="A282" s="90"/>
      <c r="B282" s="70" t="s">
        <v>525</v>
      </c>
      <c r="C282" s="70" t="s">
        <v>399</v>
      </c>
      <c r="D282" s="70" t="s">
        <v>457</v>
      </c>
      <c r="E282" s="70" t="s">
        <v>457</v>
      </c>
      <c r="F282" s="90"/>
    </row>
    <row r="283" spans="1:6" x14ac:dyDescent="0.2">
      <c r="A283" s="90"/>
      <c r="B283" s="70" t="s">
        <v>527</v>
      </c>
      <c r="C283" s="70" t="s">
        <v>400</v>
      </c>
      <c r="D283" s="70" t="s">
        <v>458</v>
      </c>
      <c r="E283" s="70" t="s">
        <v>458</v>
      </c>
      <c r="F283" s="90"/>
    </row>
    <row r="284" spans="1:6" x14ac:dyDescent="0.2">
      <c r="A284" s="90"/>
      <c r="B284" s="70" t="s">
        <v>528</v>
      </c>
      <c r="C284" s="70" t="s">
        <v>309</v>
      </c>
      <c r="D284" s="70" t="s">
        <v>309</v>
      </c>
      <c r="E284" s="70" t="s">
        <v>326</v>
      </c>
      <c r="F284" s="90"/>
    </row>
    <row r="285" spans="1:6" x14ac:dyDescent="0.2">
      <c r="A285" s="90"/>
      <c r="B285" s="70" t="s">
        <v>529</v>
      </c>
      <c r="C285" s="70" t="s">
        <v>16</v>
      </c>
      <c r="D285" s="70" t="s">
        <v>139</v>
      </c>
      <c r="E285" s="70" t="s">
        <v>139</v>
      </c>
      <c r="F285" s="90"/>
    </row>
    <row r="286" spans="1:6" x14ac:dyDescent="0.2">
      <c r="A286" s="90"/>
      <c r="B286" s="70" t="s">
        <v>530</v>
      </c>
      <c r="C286" s="70" t="s">
        <v>20</v>
      </c>
      <c r="D286" s="70" t="s">
        <v>147</v>
      </c>
      <c r="E286" s="70" t="s">
        <v>158</v>
      </c>
      <c r="F286" s="90"/>
    </row>
    <row r="287" spans="1:6" x14ac:dyDescent="0.2">
      <c r="A287" s="90"/>
      <c r="B287" s="70" t="s">
        <v>531</v>
      </c>
      <c r="C287" s="70" t="s">
        <v>310</v>
      </c>
      <c r="D287" s="70" t="s">
        <v>327</v>
      </c>
      <c r="E287" s="70" t="s">
        <v>327</v>
      </c>
      <c r="F287" s="90"/>
    </row>
    <row r="288" spans="1:6" x14ac:dyDescent="0.2">
      <c r="A288" s="90"/>
      <c r="B288" s="70" t="s">
        <v>532</v>
      </c>
      <c r="C288" s="70" t="s">
        <v>401</v>
      </c>
      <c r="D288" s="70" t="s">
        <v>459</v>
      </c>
      <c r="E288" s="70" t="s">
        <v>459</v>
      </c>
      <c r="F288" s="90"/>
    </row>
    <row r="289" spans="1:6" x14ac:dyDescent="0.2">
      <c r="A289" s="90"/>
      <c r="B289" s="70" t="s">
        <v>533</v>
      </c>
      <c r="C289" s="70" t="s">
        <v>402</v>
      </c>
      <c r="D289" s="70" t="s">
        <v>492</v>
      </c>
      <c r="E289" s="70" t="s">
        <v>460</v>
      </c>
      <c r="F289" s="90"/>
    </row>
    <row r="290" spans="1:6" x14ac:dyDescent="0.2">
      <c r="A290" s="90"/>
      <c r="B290" s="70" t="s">
        <v>534</v>
      </c>
      <c r="C290" s="70" t="s">
        <v>403</v>
      </c>
      <c r="D290" s="70" t="s">
        <v>461</v>
      </c>
      <c r="E290" s="70" t="s">
        <v>461</v>
      </c>
      <c r="F290" s="90"/>
    </row>
    <row r="291" spans="1:6" x14ac:dyDescent="0.2">
      <c r="A291" s="90"/>
      <c r="B291" s="70" t="s">
        <v>535</v>
      </c>
      <c r="C291" s="70" t="s">
        <v>404</v>
      </c>
      <c r="D291" s="70" t="s">
        <v>404</v>
      </c>
      <c r="E291" s="70" t="s">
        <v>404</v>
      </c>
      <c r="F291" s="90"/>
    </row>
    <row r="292" spans="1:6" x14ac:dyDescent="0.2">
      <c r="A292" s="90"/>
      <c r="B292" s="70" t="s">
        <v>536</v>
      </c>
      <c r="C292" s="70" t="s">
        <v>405</v>
      </c>
      <c r="D292" s="70" t="s">
        <v>462</v>
      </c>
      <c r="E292" s="70" t="s">
        <v>462</v>
      </c>
      <c r="F292" s="90"/>
    </row>
    <row r="293" spans="1:6" x14ac:dyDescent="0.2">
      <c r="A293" s="90"/>
      <c r="B293" s="70" t="s">
        <v>537</v>
      </c>
      <c r="C293" s="70" t="s">
        <v>406</v>
      </c>
      <c r="D293" s="70" t="s">
        <v>406</v>
      </c>
      <c r="E293" s="70" t="s">
        <v>406</v>
      </c>
      <c r="F293" s="90"/>
    </row>
    <row r="294" spans="1:6" x14ac:dyDescent="0.2">
      <c r="A294" s="90"/>
      <c r="B294" s="70" t="s">
        <v>538</v>
      </c>
      <c r="C294" s="70" t="s">
        <v>407</v>
      </c>
      <c r="D294" s="70" t="s">
        <v>463</v>
      </c>
      <c r="E294" s="70" t="s">
        <v>463</v>
      </c>
      <c r="F294" s="90"/>
    </row>
    <row r="295" spans="1:6" x14ac:dyDescent="0.2">
      <c r="A295" s="90"/>
      <c r="B295" s="70" t="s">
        <v>539</v>
      </c>
      <c r="C295" s="70" t="s">
        <v>356</v>
      </c>
      <c r="D295" s="70" t="s">
        <v>356</v>
      </c>
      <c r="E295" s="70" t="s">
        <v>364</v>
      </c>
      <c r="F295" s="90"/>
    </row>
    <row r="296" spans="1:6" x14ac:dyDescent="0.2">
      <c r="A296" s="90"/>
      <c r="B296" s="70" t="s">
        <v>540</v>
      </c>
      <c r="C296" s="70" t="s">
        <v>408</v>
      </c>
      <c r="D296" s="70" t="s">
        <v>493</v>
      </c>
      <c r="E296" s="70" t="s">
        <v>408</v>
      </c>
      <c r="F296" s="90"/>
    </row>
    <row r="297" spans="1:6" x14ac:dyDescent="0.2">
      <c r="A297" s="90"/>
      <c r="B297" s="70" t="s">
        <v>541</v>
      </c>
      <c r="C297" s="70" t="s">
        <v>409</v>
      </c>
      <c r="D297" s="70" t="s">
        <v>409</v>
      </c>
      <c r="E297" s="70" t="s">
        <v>409</v>
      </c>
      <c r="F297" s="90"/>
    </row>
    <row r="298" spans="1:6" x14ac:dyDescent="0.2">
      <c r="A298" s="90"/>
      <c r="B298" s="70" t="s">
        <v>542</v>
      </c>
      <c r="C298" s="70" t="s">
        <v>410</v>
      </c>
      <c r="D298" s="70" t="s">
        <v>494</v>
      </c>
      <c r="E298" s="70" t="s">
        <v>464</v>
      </c>
      <c r="F298" s="90"/>
    </row>
    <row r="299" spans="1:6" x14ac:dyDescent="0.2">
      <c r="A299" s="90"/>
      <c r="B299" s="70" t="s">
        <v>543</v>
      </c>
      <c r="C299" s="70" t="s">
        <v>411</v>
      </c>
      <c r="D299" s="70" t="s">
        <v>495</v>
      </c>
      <c r="E299" s="70" t="s">
        <v>465</v>
      </c>
      <c r="F299" s="90"/>
    </row>
    <row r="300" spans="1:6" x14ac:dyDescent="0.2">
      <c r="A300" s="90"/>
      <c r="B300" s="70" t="s">
        <v>544</v>
      </c>
      <c r="C300" s="70" t="s">
        <v>15</v>
      </c>
      <c r="D300" s="70" t="s">
        <v>142</v>
      </c>
      <c r="E300" s="70" t="s">
        <v>153</v>
      </c>
      <c r="F300" s="90"/>
    </row>
    <row r="301" spans="1:6" x14ac:dyDescent="0.2">
      <c r="A301" s="90"/>
      <c r="B301" s="70" t="s">
        <v>545</v>
      </c>
      <c r="C301" s="70" t="s">
        <v>412</v>
      </c>
      <c r="D301" s="70" t="s">
        <v>466</v>
      </c>
      <c r="E301" s="70" t="s">
        <v>466</v>
      </c>
      <c r="F301" s="90"/>
    </row>
    <row r="302" spans="1:6" x14ac:dyDescent="0.2">
      <c r="A302" s="90"/>
      <c r="B302" s="70" t="s">
        <v>546</v>
      </c>
      <c r="C302" s="70" t="s">
        <v>413</v>
      </c>
      <c r="D302" s="70" t="s">
        <v>413</v>
      </c>
      <c r="E302" s="70" t="s">
        <v>413</v>
      </c>
      <c r="F302" s="90"/>
    </row>
    <row r="303" spans="1:6" x14ac:dyDescent="0.2">
      <c r="A303" s="90"/>
      <c r="B303" s="70" t="s">
        <v>547</v>
      </c>
      <c r="C303" s="70" t="s">
        <v>19</v>
      </c>
      <c r="D303" s="70" t="s">
        <v>141</v>
      </c>
      <c r="E303" s="70" t="s">
        <v>141</v>
      </c>
      <c r="F303" s="90"/>
    </row>
    <row r="304" spans="1:6" x14ac:dyDescent="0.2">
      <c r="A304" s="90"/>
      <c r="B304" s="70" t="s">
        <v>548</v>
      </c>
      <c r="C304" s="70" t="s">
        <v>414</v>
      </c>
      <c r="D304" s="70" t="s">
        <v>496</v>
      </c>
      <c r="E304" s="70" t="s">
        <v>467</v>
      </c>
      <c r="F304" s="90"/>
    </row>
    <row r="305" spans="1:6" x14ac:dyDescent="0.2">
      <c r="A305" s="90"/>
      <c r="B305" s="70" t="s">
        <v>550</v>
      </c>
      <c r="C305" s="70" t="s">
        <v>21</v>
      </c>
      <c r="D305" s="70" t="s">
        <v>146</v>
      </c>
      <c r="E305" s="70" t="s">
        <v>157</v>
      </c>
      <c r="F305" s="90"/>
    </row>
    <row r="306" spans="1:6" x14ac:dyDescent="0.2">
      <c r="A306" s="90"/>
      <c r="B306" s="70" t="s">
        <v>549</v>
      </c>
      <c r="C306" s="70" t="s">
        <v>415</v>
      </c>
      <c r="D306" s="70" t="s">
        <v>415</v>
      </c>
      <c r="E306" s="70" t="s">
        <v>468</v>
      </c>
      <c r="F306" s="90"/>
    </row>
    <row r="307" spans="1:6" x14ac:dyDescent="0.2">
      <c r="A307" s="90"/>
      <c r="B307" s="70" t="s">
        <v>551</v>
      </c>
      <c r="C307" s="70" t="s">
        <v>416</v>
      </c>
      <c r="D307" s="70" t="s">
        <v>497</v>
      </c>
      <c r="E307" s="70" t="s">
        <v>469</v>
      </c>
      <c r="F307" s="90"/>
    </row>
    <row r="308" spans="1:6" x14ac:dyDescent="0.2">
      <c r="A308" s="90"/>
      <c r="B308" s="70" t="s">
        <v>552</v>
      </c>
      <c r="C308" s="70" t="s">
        <v>417</v>
      </c>
      <c r="D308" s="70" t="s">
        <v>470</v>
      </c>
      <c r="E308" s="70" t="s">
        <v>470</v>
      </c>
      <c r="F308" s="90"/>
    </row>
    <row r="309" spans="1:6" x14ac:dyDescent="0.2">
      <c r="A309" s="90"/>
      <c r="B309" s="70" t="s">
        <v>553</v>
      </c>
      <c r="C309" s="70" t="s">
        <v>418</v>
      </c>
      <c r="D309" s="70" t="s">
        <v>471</v>
      </c>
      <c r="E309" s="70" t="s">
        <v>471</v>
      </c>
      <c r="F309" s="90"/>
    </row>
    <row r="310" spans="1:6" x14ac:dyDescent="0.2">
      <c r="A310" s="90"/>
      <c r="B310" s="70" t="s">
        <v>554</v>
      </c>
      <c r="C310" s="70" t="s">
        <v>352</v>
      </c>
      <c r="D310" s="70" t="s">
        <v>358</v>
      </c>
      <c r="E310" s="70" t="s">
        <v>358</v>
      </c>
      <c r="F310" s="90"/>
    </row>
    <row r="311" spans="1:6" x14ac:dyDescent="0.2">
      <c r="A311" s="90"/>
      <c r="B311" s="70" t="s">
        <v>555</v>
      </c>
      <c r="C311" s="70" t="s">
        <v>13</v>
      </c>
      <c r="D311" s="70" t="s">
        <v>137</v>
      </c>
      <c r="E311" s="70" t="s">
        <v>151</v>
      </c>
      <c r="F311" s="90"/>
    </row>
    <row r="312" spans="1:6" x14ac:dyDescent="0.2">
      <c r="A312" s="90"/>
      <c r="B312" s="70" t="s">
        <v>556</v>
      </c>
      <c r="C312" s="70" t="s">
        <v>419</v>
      </c>
      <c r="D312" s="70" t="s">
        <v>472</v>
      </c>
      <c r="E312" s="70" t="s">
        <v>472</v>
      </c>
      <c r="F312" s="90"/>
    </row>
    <row r="313" spans="1:6" x14ac:dyDescent="0.2">
      <c r="A313" s="90"/>
      <c r="B313" s="70" t="s">
        <v>557</v>
      </c>
      <c r="C313" s="70" t="s">
        <v>420</v>
      </c>
      <c r="D313" s="70" t="s">
        <v>420</v>
      </c>
      <c r="E313" s="70" t="s">
        <v>473</v>
      </c>
      <c r="F313" s="90"/>
    </row>
    <row r="314" spans="1:6" x14ac:dyDescent="0.2">
      <c r="A314" s="90"/>
      <c r="B314" s="70" t="s">
        <v>558</v>
      </c>
      <c r="C314" s="70" t="s">
        <v>421</v>
      </c>
      <c r="D314" s="70" t="s">
        <v>498</v>
      </c>
      <c r="E314" s="70" t="s">
        <v>474</v>
      </c>
      <c r="F314" s="90"/>
    </row>
    <row r="315" spans="1:6" x14ac:dyDescent="0.2">
      <c r="A315" s="90"/>
      <c r="B315" s="70" t="s">
        <v>559</v>
      </c>
      <c r="C315" s="70" t="s">
        <v>422</v>
      </c>
      <c r="D315" s="70" t="s">
        <v>475</v>
      </c>
      <c r="E315" s="70" t="s">
        <v>475</v>
      </c>
      <c r="F315" s="90"/>
    </row>
    <row r="316" spans="1:6" x14ac:dyDescent="0.2">
      <c r="A316" s="90"/>
      <c r="B316" s="70" t="s">
        <v>560</v>
      </c>
      <c r="C316" s="70" t="s">
        <v>354</v>
      </c>
      <c r="D316" s="70" t="s">
        <v>360</v>
      </c>
      <c r="E316" s="70" t="s">
        <v>360</v>
      </c>
      <c r="F316" s="90"/>
    </row>
    <row r="317" spans="1:6" x14ac:dyDescent="0.2">
      <c r="A317" s="90"/>
      <c r="B317" s="70" t="s">
        <v>561</v>
      </c>
      <c r="C317" s="70" t="s">
        <v>423</v>
      </c>
      <c r="D317" s="70" t="s">
        <v>499</v>
      </c>
      <c r="E317" s="70" t="s">
        <v>476</v>
      </c>
      <c r="F317" s="90"/>
    </row>
    <row r="318" spans="1:6" x14ac:dyDescent="0.2">
      <c r="A318" s="90"/>
      <c r="B318" s="70" t="s">
        <v>562</v>
      </c>
      <c r="C318" s="70" t="s">
        <v>585</v>
      </c>
      <c r="D318" s="70" t="s">
        <v>585</v>
      </c>
      <c r="E318" s="70" t="s">
        <v>585</v>
      </c>
      <c r="F318" s="90"/>
    </row>
    <row r="319" spans="1:6" x14ac:dyDescent="0.2">
      <c r="A319" s="90"/>
      <c r="B319" s="70" t="s">
        <v>563</v>
      </c>
      <c r="C319" s="70" t="s">
        <v>424</v>
      </c>
      <c r="D319" s="70" t="s">
        <v>500</v>
      </c>
      <c r="E319" s="70" t="s">
        <v>477</v>
      </c>
      <c r="F319" s="90"/>
    </row>
    <row r="320" spans="1:6" x14ac:dyDescent="0.2">
      <c r="A320" s="90"/>
      <c r="B320" s="70" t="s">
        <v>564</v>
      </c>
      <c r="C320" s="70" t="s">
        <v>351</v>
      </c>
      <c r="D320" s="70" t="s">
        <v>357</v>
      </c>
      <c r="E320" s="70" t="s">
        <v>362</v>
      </c>
      <c r="F320" s="90"/>
    </row>
    <row r="321" spans="1:6" x14ac:dyDescent="0.2">
      <c r="A321" s="90"/>
      <c r="B321" s="70" t="s">
        <v>565</v>
      </c>
      <c r="C321" s="70" t="s">
        <v>425</v>
      </c>
      <c r="D321" s="70" t="s">
        <v>501</v>
      </c>
      <c r="E321" s="70" t="s">
        <v>478</v>
      </c>
      <c r="F321" s="90"/>
    </row>
    <row r="322" spans="1:6" x14ac:dyDescent="0.2">
      <c r="A322" s="90"/>
      <c r="B322" s="70" t="s">
        <v>566</v>
      </c>
      <c r="C322" s="70" t="s">
        <v>426</v>
      </c>
      <c r="D322" s="70" t="s">
        <v>502</v>
      </c>
      <c r="E322" s="70" t="s">
        <v>479</v>
      </c>
      <c r="F322" s="90"/>
    </row>
    <row r="323" spans="1:6" x14ac:dyDescent="0.2">
      <c r="A323" s="90"/>
      <c r="B323" s="70" t="s">
        <v>567</v>
      </c>
      <c r="C323" s="70" t="s">
        <v>427</v>
      </c>
      <c r="D323" s="70" t="s">
        <v>503</v>
      </c>
      <c r="E323" s="70" t="s">
        <v>480</v>
      </c>
      <c r="F323" s="90"/>
    </row>
    <row r="324" spans="1:6" x14ac:dyDescent="0.2">
      <c r="A324" s="90"/>
      <c r="B324" s="70" t="s">
        <v>568</v>
      </c>
      <c r="C324" s="70" t="s">
        <v>428</v>
      </c>
      <c r="D324" s="70" t="s">
        <v>504</v>
      </c>
      <c r="E324" s="70" t="s">
        <v>481</v>
      </c>
      <c r="F324" s="90"/>
    </row>
    <row r="325" spans="1:6" x14ac:dyDescent="0.2">
      <c r="A325" s="90"/>
      <c r="B325" s="70" t="s">
        <v>569</v>
      </c>
      <c r="C325" s="70" t="s">
        <v>429</v>
      </c>
      <c r="D325" s="70" t="s">
        <v>505</v>
      </c>
      <c r="E325" s="70" t="s">
        <v>482</v>
      </c>
      <c r="F325" s="90"/>
    </row>
    <row r="326" spans="1:6" x14ac:dyDescent="0.2">
      <c r="A326" s="90"/>
      <c r="B326" s="70" t="s">
        <v>570</v>
      </c>
      <c r="C326" s="70" t="s">
        <v>430</v>
      </c>
      <c r="D326" s="70" t="s">
        <v>506</v>
      </c>
      <c r="E326" s="70" t="s">
        <v>483</v>
      </c>
      <c r="F326" s="90"/>
    </row>
    <row r="327" spans="1:6" x14ac:dyDescent="0.2">
      <c r="A327" s="90"/>
      <c r="B327" s="70" t="s">
        <v>571</v>
      </c>
      <c r="C327" s="70" t="s">
        <v>431</v>
      </c>
      <c r="D327" s="70" t="s">
        <v>507</v>
      </c>
      <c r="E327" s="70" t="s">
        <v>484</v>
      </c>
      <c r="F327" s="90"/>
    </row>
    <row r="328" spans="1:6" x14ac:dyDescent="0.2">
      <c r="A328" s="90"/>
      <c r="B328" s="70" t="s">
        <v>572</v>
      </c>
      <c r="C328" s="70" t="s">
        <v>432</v>
      </c>
      <c r="D328" s="70" t="s">
        <v>508</v>
      </c>
      <c r="E328" s="70" t="s">
        <v>485</v>
      </c>
      <c r="F328" s="90"/>
    </row>
    <row r="329" spans="1:6" x14ac:dyDescent="0.2">
      <c r="A329" s="90"/>
      <c r="B329" s="70" t="s">
        <v>573</v>
      </c>
      <c r="C329" s="70" t="s">
        <v>433</v>
      </c>
      <c r="D329" s="70" t="s">
        <v>486</v>
      </c>
      <c r="E329" s="70" t="s">
        <v>486</v>
      </c>
      <c r="F329" s="90"/>
    </row>
    <row r="330" spans="1:6" x14ac:dyDescent="0.2">
      <c r="A330" s="90"/>
      <c r="B330" s="70" t="s">
        <v>574</v>
      </c>
      <c r="C330" s="70" t="s">
        <v>434</v>
      </c>
      <c r="D330" s="70" t="s">
        <v>509</v>
      </c>
      <c r="E330" s="70" t="s">
        <v>487</v>
      </c>
      <c r="F330" s="90"/>
    </row>
    <row r="331" spans="1:6" x14ac:dyDescent="0.2">
      <c r="A331" s="90"/>
      <c r="B331" s="70" t="s">
        <v>575</v>
      </c>
      <c r="C331" s="70" t="s">
        <v>355</v>
      </c>
      <c r="D331" s="70" t="s">
        <v>361</v>
      </c>
      <c r="E331" s="70" t="s">
        <v>365</v>
      </c>
      <c r="F331" s="90"/>
    </row>
    <row r="332" spans="1:6" x14ac:dyDescent="0.2">
      <c r="A332" s="90"/>
      <c r="B332" s="70" t="s">
        <v>576</v>
      </c>
      <c r="C332" s="70" t="s">
        <v>40</v>
      </c>
      <c r="D332" s="70" t="s">
        <v>145</v>
      </c>
      <c r="E332" s="70" t="s">
        <v>156</v>
      </c>
      <c r="F332" s="90"/>
    </row>
    <row r="333" spans="1:6" x14ac:dyDescent="0.2">
      <c r="A333" s="90"/>
      <c r="B333" s="70" t="s">
        <v>577</v>
      </c>
      <c r="C333" s="70" t="s">
        <v>23</v>
      </c>
      <c r="D333" s="70" t="s">
        <v>144</v>
      </c>
      <c r="E333" s="70" t="s">
        <v>155</v>
      </c>
      <c r="F333" s="90"/>
    </row>
    <row r="334" spans="1:6" x14ac:dyDescent="0.2">
      <c r="A334" s="90"/>
      <c r="B334" s="70" t="s">
        <v>578</v>
      </c>
      <c r="C334" s="70" t="s">
        <v>435</v>
      </c>
      <c r="D334" s="70" t="s">
        <v>510</v>
      </c>
      <c r="E334" s="70" t="s">
        <v>488</v>
      </c>
      <c r="F334" s="90"/>
    </row>
    <row r="335" spans="1:6" x14ac:dyDescent="0.2">
      <c r="A335" s="89"/>
      <c r="B335" s="90"/>
      <c r="C335" s="90"/>
      <c r="D335" s="90"/>
      <c r="E335" s="90"/>
      <c r="F335" s="90"/>
    </row>
    <row r="336" spans="1:6" ht="13.5" customHeight="1" x14ac:dyDescent="0.2">
      <c r="A336" s="90"/>
      <c r="B336" s="88" t="s">
        <v>580</v>
      </c>
      <c r="C336" s="94" t="s">
        <v>581</v>
      </c>
      <c r="D336" s="94" t="s">
        <v>582</v>
      </c>
      <c r="E336" s="94" t="s">
        <v>583</v>
      </c>
      <c r="F336" s="90"/>
    </row>
    <row r="337" spans="1:6" x14ac:dyDescent="0.2">
      <c r="A337" s="89"/>
      <c r="B337" s="90"/>
      <c r="C337" s="90"/>
      <c r="D337" s="90"/>
      <c r="E337" s="90"/>
      <c r="F337" s="9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2"/>
  <dimension ref="A1:J103"/>
  <sheetViews>
    <sheetView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3" t="str">
        <f>VLOOKUP("&lt;Fachbereich&gt;",Uebersetzungen!$B$4:$E$315,Uebersetzungen!$B$2+1,FALSE)</f>
        <v>Daten &amp; Statistik</v>
      </c>
      <c r="B7" s="133"/>
      <c r="C7" s="133"/>
      <c r="D7" s="133"/>
      <c r="E7" s="95"/>
      <c r="F7" s="1"/>
    </row>
    <row r="8" spans="1:10" ht="10.5" customHeight="1" x14ac:dyDescent="0.2"/>
    <row r="9" spans="1:10" ht="18" x14ac:dyDescent="0.25">
      <c r="A9" s="2" t="str">
        <f>VLOOKUP("&lt;T11Titel1&gt;",Uebersetzungen!$B$4:$E$315,Uebersetzungen!$B$2+1,FALSE)</f>
        <v>Hotel- und Kurbetriebe: Logiernächte im November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VLOOKUP("&lt;T11SpaltenTitel_1&gt;",Uebersetzungen!$B$4:$E$315,Uebersetzungen!$B$2+1,FALSE)</f>
        <v>November 2025</v>
      </c>
      <c r="D12" s="21" t="str">
        <f>VLOOKUP("&lt;T11SpaltenTitel_2&gt;",Uebersetzungen!$B$4:$E$315,Uebersetzungen!$B$2+1,FALSE)</f>
        <v>November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VLOOKUP("&lt;T11SpaltenTitel_5&gt;",Uebersetzungen!$B$4:$E$315,Uebersetzungen!$B$2+1,FALSE)</f>
        <v>Januar-November 25</v>
      </c>
      <c r="H12" s="22" t="str">
        <f>VLOOKUP("&lt;T11SpaltenTitel_6&gt;",Uebersetzungen!$B$4:$E$315,Uebersetzungen!$B$2+1,FALSE)</f>
        <v>Januar-November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/>
      <c r="D13" s="52"/>
      <c r="E13" s="53" t="e">
        <f t="shared" ref="E13:E31" si="0">C13/D13-1</f>
        <v>#DIV/0!</v>
      </c>
      <c r="F13" s="72"/>
      <c r="G13" s="76"/>
      <c r="H13" s="52"/>
      <c r="I13" s="53" t="e">
        <f t="shared" ref="I13:I31" si="1">G13/H13-1</f>
        <v>#DIV/0!</v>
      </c>
      <c r="J13" s="54"/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/>
      <c r="D14" s="52"/>
      <c r="E14" s="53" t="e">
        <f t="shared" si="0"/>
        <v>#DIV/0!</v>
      </c>
      <c r="F14" s="72"/>
      <c r="G14" s="76"/>
      <c r="H14" s="52"/>
      <c r="I14" s="53" t="e">
        <f t="shared" si="1"/>
        <v>#DIV/0!</v>
      </c>
      <c r="J14" s="54"/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/>
      <c r="D15" s="52"/>
      <c r="E15" s="53" t="e">
        <f t="shared" si="0"/>
        <v>#DIV/0!</v>
      </c>
      <c r="F15" s="72"/>
      <c r="G15" s="76"/>
      <c r="H15" s="52"/>
      <c r="I15" s="53" t="e">
        <f t="shared" si="1"/>
        <v>#DIV/0!</v>
      </c>
      <c r="J15" s="54"/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/>
      <c r="D16" s="52"/>
      <c r="E16" s="53" t="e">
        <f t="shared" si="0"/>
        <v>#DIV/0!</v>
      </c>
      <c r="F16" s="72"/>
      <c r="G16" s="76"/>
      <c r="H16" s="52"/>
      <c r="I16" s="53" t="e">
        <f t="shared" si="1"/>
        <v>#DIV/0!</v>
      </c>
      <c r="J16" s="54"/>
    </row>
    <row r="17" spans="1:10" x14ac:dyDescent="0.2">
      <c r="A17" s="24" t="str">
        <f>VLOOKUP("&lt;Zeilentitel_5&gt;",Uebersetzungen!$B$4:$E$88,Uebersetzungen!$B$2+1,FALSE)</f>
        <v>Chur</v>
      </c>
      <c r="B17" s="5"/>
      <c r="C17" s="51"/>
      <c r="D17" s="52"/>
      <c r="E17" s="53" t="e">
        <f t="shared" si="0"/>
        <v>#DIV/0!</v>
      </c>
      <c r="F17" s="72"/>
      <c r="G17" s="76"/>
      <c r="H17" s="52"/>
      <c r="I17" s="53" t="e">
        <f t="shared" si="1"/>
        <v>#DIV/0!</v>
      </c>
      <c r="J17" s="54"/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/>
      <c r="D18" s="52"/>
      <c r="E18" s="53" t="e">
        <f t="shared" si="0"/>
        <v>#DIV/0!</v>
      </c>
      <c r="F18" s="72"/>
      <c r="G18" s="76"/>
      <c r="H18" s="52"/>
      <c r="I18" s="53" t="e">
        <f t="shared" si="1"/>
        <v>#DIV/0!</v>
      </c>
      <c r="J18" s="54"/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/>
      <c r="D19" s="52"/>
      <c r="E19" s="53" t="e">
        <f t="shared" si="0"/>
        <v>#DIV/0!</v>
      </c>
      <c r="F19" s="72"/>
      <c r="G19" s="76"/>
      <c r="H19" s="52"/>
      <c r="I19" s="53" t="e">
        <f t="shared" si="1"/>
        <v>#DIV/0!</v>
      </c>
      <c r="J19" s="54"/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/>
      <c r="D20" s="52"/>
      <c r="E20" s="53" t="e">
        <f t="shared" si="0"/>
        <v>#DIV/0!</v>
      </c>
      <c r="F20" s="72"/>
      <c r="G20" s="76"/>
      <c r="H20" s="52"/>
      <c r="I20" s="53" t="e">
        <f t="shared" si="1"/>
        <v>#DIV/0!</v>
      </c>
      <c r="J20" s="54"/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/>
      <c r="D21" s="52"/>
      <c r="E21" s="53" t="e">
        <f t="shared" si="0"/>
        <v>#DIV/0!</v>
      </c>
      <c r="F21" s="72"/>
      <c r="G21" s="76"/>
      <c r="H21" s="52"/>
      <c r="I21" s="53" t="e">
        <f t="shared" si="1"/>
        <v>#DIV/0!</v>
      </c>
      <c r="J21" s="54"/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/>
      <c r="D22" s="52"/>
      <c r="E22" s="53" t="e">
        <f t="shared" si="0"/>
        <v>#DIV/0!</v>
      </c>
      <c r="F22" s="72"/>
      <c r="G22" s="76"/>
      <c r="H22" s="52"/>
      <c r="I22" s="53" t="e">
        <f t="shared" si="1"/>
        <v>#DIV/0!</v>
      </c>
      <c r="J22" s="54"/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/>
      <c r="D23" s="52"/>
      <c r="E23" s="53" t="e">
        <f t="shared" si="0"/>
        <v>#DIV/0!</v>
      </c>
      <c r="F23" s="72"/>
      <c r="G23" s="76"/>
      <c r="H23" s="52"/>
      <c r="I23" s="53" t="e">
        <f t="shared" si="1"/>
        <v>#DIV/0!</v>
      </c>
      <c r="J23" s="54"/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/>
      <c r="D24" s="52"/>
      <c r="E24" s="53" t="e">
        <f t="shared" si="0"/>
        <v>#DIV/0!</v>
      </c>
      <c r="F24" s="72"/>
      <c r="G24" s="76"/>
      <c r="H24" s="52"/>
      <c r="I24" s="53" t="e">
        <f t="shared" si="1"/>
        <v>#DIV/0!</v>
      </c>
      <c r="J24" s="54"/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/>
      <c r="D25" s="52"/>
      <c r="E25" s="53" t="e">
        <f t="shared" si="0"/>
        <v>#DIV/0!</v>
      </c>
      <c r="F25" s="72"/>
      <c r="G25" s="76"/>
      <c r="H25" s="52"/>
      <c r="I25" s="53" t="e">
        <f t="shared" si="1"/>
        <v>#DIV/0!</v>
      </c>
      <c r="J25" s="54"/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/>
      <c r="D26" s="52"/>
      <c r="E26" s="53" t="e">
        <f t="shared" si="0"/>
        <v>#DIV/0!</v>
      </c>
      <c r="F26" s="72"/>
      <c r="G26" s="76"/>
      <c r="H26" s="52"/>
      <c r="I26" s="53" t="e">
        <f t="shared" si="1"/>
        <v>#DIV/0!</v>
      </c>
      <c r="J26" s="54"/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/>
      <c r="D27" s="52"/>
      <c r="E27" s="53" t="e">
        <f t="shared" si="0"/>
        <v>#DIV/0!</v>
      </c>
      <c r="F27" s="72"/>
      <c r="G27" s="77"/>
      <c r="H27" s="52"/>
      <c r="I27" s="53" t="e">
        <f t="shared" si="1"/>
        <v>#DIV/0!</v>
      </c>
      <c r="J27" s="54"/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/>
      <c r="D28" s="52"/>
      <c r="E28" s="53" t="e">
        <f t="shared" si="0"/>
        <v>#DIV/0!</v>
      </c>
      <c r="F28" s="72"/>
      <c r="G28" s="76"/>
      <c r="H28" s="52"/>
      <c r="I28" s="53" t="e">
        <f t="shared" si="1"/>
        <v>#DIV/0!</v>
      </c>
      <c r="J28" s="54"/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/>
      <c r="D29" s="55"/>
      <c r="E29" s="53" t="e">
        <f t="shared" si="0"/>
        <v>#DIV/0!</v>
      </c>
      <c r="F29" s="72"/>
      <c r="G29" s="77"/>
      <c r="H29" s="55"/>
      <c r="I29" s="53" t="e">
        <f t="shared" si="1"/>
        <v>#DIV/0!</v>
      </c>
      <c r="J29" s="54"/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/>
      <c r="D30" s="57"/>
      <c r="E30" s="53" t="e">
        <f t="shared" si="0"/>
        <v>#DIV/0!</v>
      </c>
      <c r="F30" s="73"/>
      <c r="G30" s="78"/>
      <c r="H30" s="57"/>
      <c r="I30" s="53" t="e">
        <f t="shared" si="1"/>
        <v>#DIV/0!</v>
      </c>
      <c r="J30" s="58"/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/>
      <c r="D31" s="19"/>
      <c r="E31" s="12" t="e">
        <f t="shared" si="0"/>
        <v>#DIV/0!</v>
      </c>
      <c r="F31" s="74"/>
      <c r="G31" s="79"/>
      <c r="H31" s="19"/>
      <c r="I31" s="12" t="e">
        <f t="shared" si="1"/>
        <v>#DIV/0!</v>
      </c>
      <c r="J31" s="47"/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VLOOKUP("&lt;T11Titel2&gt;",Uebersetzungen!$B$4:$E$315,Uebersetzungen!$B$2+1,FALSE)</f>
        <v>Hotel- und Kurbetriebe: Logiernächte im November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VLOOKUP("&lt;T11SpaltenTitel_1&gt;",Uebersetzungen!$B$4:$E$315,Uebersetzungen!$B$2+1,FALSE)</f>
        <v>November 2025</v>
      </c>
      <c r="D39" s="21" t="str">
        <f>VLOOKUP("&lt;T11SpaltenTitel_2&gt;",Uebersetzungen!$B$4:$E$315,Uebersetzungen!$B$2+1,FALSE)</f>
        <v>November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VLOOKUP("&lt;T11SpaltenTitel_5&gt;",Uebersetzungen!$B$4:$E$315,Uebersetzungen!$B$2+1,FALSE)</f>
        <v>Januar-November 25</v>
      </c>
      <c r="H39" s="22" t="str">
        <f>VLOOKUP("&lt;T11SpaltenTitel_6&gt;",Uebersetzungen!$B$4:$E$315,Uebersetzungen!$B$2+1,FALSE)</f>
        <v>Januar-November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/>
      <c r="D40" s="17"/>
      <c r="E40" s="10" t="e">
        <f>C40/D40-1</f>
        <v>#DIV/0!</v>
      </c>
      <c r="F40" s="80"/>
      <c r="G40" s="83"/>
      <c r="H40" s="17"/>
      <c r="I40" s="10" t="e">
        <f>G40/H40-1</f>
        <v>#DIV/0!</v>
      </c>
      <c r="J40" s="44"/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/>
      <c r="D41" s="17"/>
      <c r="E41" s="10" t="e">
        <f t="shared" ref="E41:E74" si="2">C41/D41-1</f>
        <v>#DIV/0!</v>
      </c>
      <c r="F41" s="80"/>
      <c r="G41" s="83"/>
      <c r="H41" s="17"/>
      <c r="I41" s="10" t="e">
        <f t="shared" ref="I41:I74" si="3">G41/H41-1</f>
        <v>#DIV/0!</v>
      </c>
      <c r="J41" s="44"/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/>
      <c r="D42" s="17"/>
      <c r="E42" s="10" t="e">
        <f t="shared" si="2"/>
        <v>#DIV/0!</v>
      </c>
      <c r="F42" s="80"/>
      <c r="G42" s="83"/>
      <c r="H42" s="17"/>
      <c r="I42" s="10" t="e">
        <f t="shared" si="3"/>
        <v>#DIV/0!</v>
      </c>
      <c r="J42" s="44"/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/>
      <c r="D43" s="17"/>
      <c r="E43" s="10" t="e">
        <f t="shared" si="2"/>
        <v>#DIV/0!</v>
      </c>
      <c r="F43" s="80"/>
      <c r="G43" s="83"/>
      <c r="H43" s="17"/>
      <c r="I43" s="10" t="e">
        <f t="shared" si="3"/>
        <v>#DIV/0!</v>
      </c>
      <c r="J43" s="44"/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/>
      <c r="D44" s="17"/>
      <c r="E44" s="10" t="e">
        <f t="shared" si="2"/>
        <v>#DIV/0!</v>
      </c>
      <c r="F44" s="80"/>
      <c r="G44" s="83"/>
      <c r="H44" s="17"/>
      <c r="I44" s="10" t="e">
        <f t="shared" si="3"/>
        <v>#DIV/0!</v>
      </c>
      <c r="J44" s="44"/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/>
      <c r="D45" s="17"/>
      <c r="E45" s="10" t="e">
        <f t="shared" si="2"/>
        <v>#DIV/0!</v>
      </c>
      <c r="F45" s="80"/>
      <c r="G45" s="83"/>
      <c r="H45" s="17"/>
      <c r="I45" s="10" t="e">
        <f t="shared" si="3"/>
        <v>#DIV/0!</v>
      </c>
      <c r="J45" s="44"/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/>
      <c r="D46" s="17"/>
      <c r="E46" s="10" t="e">
        <f t="shared" si="2"/>
        <v>#DIV/0!</v>
      </c>
      <c r="F46" s="80"/>
      <c r="G46" s="83"/>
      <c r="H46" s="17"/>
      <c r="I46" s="10" t="e">
        <f t="shared" si="3"/>
        <v>#DIV/0!</v>
      </c>
      <c r="J46" s="44"/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/>
      <c r="D47" s="17"/>
      <c r="E47" s="10" t="e">
        <f t="shared" si="2"/>
        <v>#DIV/0!</v>
      </c>
      <c r="F47" s="80"/>
      <c r="G47" s="83"/>
      <c r="H47" s="17"/>
      <c r="I47" s="10" t="e">
        <f t="shared" si="3"/>
        <v>#DIV/0!</v>
      </c>
      <c r="J47" s="44"/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/>
      <c r="D48" s="17"/>
      <c r="E48" s="10" t="e">
        <f t="shared" si="2"/>
        <v>#DIV/0!</v>
      </c>
      <c r="F48" s="80"/>
      <c r="G48" s="83"/>
      <c r="H48" s="17"/>
      <c r="I48" s="10" t="e">
        <f t="shared" si="3"/>
        <v>#DIV/0!</v>
      </c>
      <c r="J48" s="44"/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/>
      <c r="D49" s="17"/>
      <c r="E49" s="10" t="e">
        <f t="shared" si="2"/>
        <v>#DIV/0!</v>
      </c>
      <c r="F49" s="80"/>
      <c r="G49" s="83"/>
      <c r="H49" s="17"/>
      <c r="I49" s="10" t="e">
        <f t="shared" si="3"/>
        <v>#DIV/0!</v>
      </c>
      <c r="J49" s="44"/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/>
      <c r="D50" s="17"/>
      <c r="E50" s="10" t="e">
        <f t="shared" si="2"/>
        <v>#DIV/0!</v>
      </c>
      <c r="F50" s="80"/>
      <c r="G50" s="83"/>
      <c r="H50" s="17"/>
      <c r="I50" s="10" t="e">
        <f t="shared" si="3"/>
        <v>#DIV/0!</v>
      </c>
      <c r="J50" s="44"/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/>
      <c r="D51" s="17"/>
      <c r="E51" s="10" t="e">
        <f t="shared" si="2"/>
        <v>#DIV/0!</v>
      </c>
      <c r="F51" s="80"/>
      <c r="G51" s="83"/>
      <c r="H51" s="17"/>
      <c r="I51" s="10" t="e">
        <f t="shared" si="3"/>
        <v>#DIV/0!</v>
      </c>
      <c r="J51" s="44"/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/>
      <c r="D52" s="17"/>
      <c r="E52" s="10" t="e">
        <f t="shared" si="2"/>
        <v>#DIV/0!</v>
      </c>
      <c r="F52" s="80"/>
      <c r="G52" s="83"/>
      <c r="H52" s="17"/>
      <c r="I52" s="10" t="e">
        <f t="shared" si="3"/>
        <v>#DIV/0!</v>
      </c>
      <c r="J52" s="44"/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/>
      <c r="D53" s="17"/>
      <c r="E53" s="10" t="e">
        <f t="shared" si="2"/>
        <v>#DIV/0!</v>
      </c>
      <c r="F53" s="80"/>
      <c r="G53" s="83"/>
      <c r="H53" s="17"/>
      <c r="I53" s="10" t="e">
        <f t="shared" si="3"/>
        <v>#DIV/0!</v>
      </c>
      <c r="J53" s="44"/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/>
      <c r="D54" s="17"/>
      <c r="E54" s="10" t="e">
        <f t="shared" si="2"/>
        <v>#DIV/0!</v>
      </c>
      <c r="F54" s="80"/>
      <c r="G54" s="83"/>
      <c r="H54" s="17"/>
      <c r="I54" s="10" t="e">
        <f t="shared" si="3"/>
        <v>#DIV/0!</v>
      </c>
      <c r="J54" s="44"/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/>
      <c r="D55" s="17"/>
      <c r="E55" s="10" t="e">
        <f t="shared" si="2"/>
        <v>#DIV/0!</v>
      </c>
      <c r="F55" s="80"/>
      <c r="G55" s="83"/>
      <c r="H55" s="17"/>
      <c r="I55" s="10" t="e">
        <f t="shared" si="3"/>
        <v>#DIV/0!</v>
      </c>
      <c r="J55" s="44"/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/>
      <c r="D56" s="17"/>
      <c r="E56" s="10" t="e">
        <f t="shared" si="2"/>
        <v>#DIV/0!</v>
      </c>
      <c r="F56" s="80"/>
      <c r="G56" s="83"/>
      <c r="H56" s="17"/>
      <c r="I56" s="10" t="e">
        <f t="shared" si="3"/>
        <v>#DIV/0!</v>
      </c>
      <c r="J56" s="44"/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/>
      <c r="D57" s="17"/>
      <c r="E57" s="10" t="e">
        <f t="shared" si="2"/>
        <v>#DIV/0!</v>
      </c>
      <c r="F57" s="80"/>
      <c r="G57" s="83"/>
      <c r="H57" s="17"/>
      <c r="I57" s="10" t="e">
        <f t="shared" si="3"/>
        <v>#DIV/0!</v>
      </c>
      <c r="J57" s="44"/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/>
      <c r="D58" s="17"/>
      <c r="E58" s="10" t="e">
        <f t="shared" si="2"/>
        <v>#DIV/0!</v>
      </c>
      <c r="F58" s="80"/>
      <c r="G58" s="83"/>
      <c r="H58" s="17"/>
      <c r="I58" s="10" t="e">
        <f t="shared" si="3"/>
        <v>#DIV/0!</v>
      </c>
      <c r="J58" s="44"/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/>
      <c r="D59" s="17"/>
      <c r="E59" s="10" t="e">
        <f t="shared" si="2"/>
        <v>#DIV/0!</v>
      </c>
      <c r="F59" s="80"/>
      <c r="G59" s="83"/>
      <c r="H59" s="17"/>
      <c r="I59" s="10" t="e">
        <f t="shared" si="3"/>
        <v>#DIV/0!</v>
      </c>
      <c r="J59" s="44"/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/>
      <c r="D60" s="17"/>
      <c r="E60" s="10" t="e">
        <f t="shared" si="2"/>
        <v>#DIV/0!</v>
      </c>
      <c r="F60" s="80"/>
      <c r="G60" s="83"/>
      <c r="H60" s="17"/>
      <c r="I60" s="10" t="e">
        <f t="shared" si="3"/>
        <v>#DIV/0!</v>
      </c>
      <c r="J60" s="44"/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/>
      <c r="D61" s="17"/>
      <c r="E61" s="10" t="e">
        <f t="shared" si="2"/>
        <v>#DIV/0!</v>
      </c>
      <c r="F61" s="80"/>
      <c r="G61" s="83"/>
      <c r="H61" s="17"/>
      <c r="I61" s="10" t="e">
        <f t="shared" si="3"/>
        <v>#DIV/0!</v>
      </c>
      <c r="J61" s="44"/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/>
      <c r="D62" s="17"/>
      <c r="E62" s="10" t="e">
        <f t="shared" si="2"/>
        <v>#DIV/0!</v>
      </c>
      <c r="F62" s="80"/>
      <c r="G62" s="83"/>
      <c r="H62" s="17"/>
      <c r="I62" s="10" t="e">
        <f t="shared" si="3"/>
        <v>#DIV/0!</v>
      </c>
      <c r="J62" s="44"/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/>
      <c r="D63" s="17"/>
      <c r="E63" s="10" t="e">
        <f t="shared" si="2"/>
        <v>#DIV/0!</v>
      </c>
      <c r="F63" s="80"/>
      <c r="G63" s="83"/>
      <c r="H63" s="17"/>
      <c r="I63" s="10" t="e">
        <f t="shared" si="3"/>
        <v>#DIV/0!</v>
      </c>
      <c r="J63" s="44"/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/>
      <c r="D66" s="17"/>
      <c r="E66" s="10" t="e">
        <f t="shared" si="2"/>
        <v>#DIV/0!</v>
      </c>
      <c r="F66" s="80"/>
      <c r="G66" s="83"/>
      <c r="H66" s="17"/>
      <c r="I66" s="10" t="e">
        <f t="shared" si="3"/>
        <v>#DIV/0!</v>
      </c>
      <c r="J66" s="44"/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/>
      <c r="D67" s="17"/>
      <c r="E67" s="10" t="e">
        <f t="shared" si="2"/>
        <v>#DIV/0!</v>
      </c>
      <c r="F67" s="80"/>
      <c r="G67" s="83"/>
      <c r="H67" s="17"/>
      <c r="I67" s="10" t="e">
        <f t="shared" si="3"/>
        <v>#DIV/0!</v>
      </c>
      <c r="J67" s="44"/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/>
      <c r="D68" s="17"/>
      <c r="E68" s="10" t="e">
        <f t="shared" si="2"/>
        <v>#DIV/0!</v>
      </c>
      <c r="F68" s="80"/>
      <c r="G68" s="83"/>
      <c r="H68" s="17"/>
      <c r="I68" s="10" t="e">
        <f t="shared" si="3"/>
        <v>#DIV/0!</v>
      </c>
      <c r="J68" s="44"/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/>
      <c r="D69" s="17"/>
      <c r="E69" s="10" t="e">
        <f t="shared" si="2"/>
        <v>#DIV/0!</v>
      </c>
      <c r="F69" s="80"/>
      <c r="G69" s="83"/>
      <c r="H69" s="17"/>
      <c r="I69" s="10" t="e">
        <f t="shared" si="3"/>
        <v>#DIV/0!</v>
      </c>
      <c r="J69" s="44"/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/>
      <c r="D70" s="17"/>
      <c r="E70" s="10" t="e">
        <f t="shared" si="2"/>
        <v>#DIV/0!</v>
      </c>
      <c r="F70" s="80"/>
      <c r="G70" s="83"/>
      <c r="H70" s="17"/>
      <c r="I70" s="10" t="e">
        <f t="shared" si="3"/>
        <v>#DIV/0!</v>
      </c>
      <c r="J70" s="44"/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/>
      <c r="D71" s="17"/>
      <c r="E71" s="10" t="e">
        <f t="shared" si="2"/>
        <v>#DIV/0!</v>
      </c>
      <c r="F71" s="80"/>
      <c r="G71" s="83"/>
      <c r="H71" s="17"/>
      <c r="I71" s="10" t="e">
        <f t="shared" si="3"/>
        <v>#DIV/0!</v>
      </c>
      <c r="J71" s="44"/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/>
      <c r="D72" s="17"/>
      <c r="E72" s="10" t="e">
        <f t="shared" si="2"/>
        <v>#DIV/0!</v>
      </c>
      <c r="F72" s="80"/>
      <c r="G72" s="83"/>
      <c r="H72" s="17"/>
      <c r="I72" s="10" t="e">
        <f t="shared" si="3"/>
        <v>#DIV/0!</v>
      </c>
      <c r="J72" s="44"/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/>
      <c r="D73" s="18"/>
      <c r="E73" s="11" t="e">
        <f t="shared" si="2"/>
        <v>#DIV/0!</v>
      </c>
      <c r="F73" s="81"/>
      <c r="G73" s="84"/>
      <c r="H73" s="18"/>
      <c r="I73" s="11" t="e">
        <f t="shared" si="3"/>
        <v>#DIV/0!</v>
      </c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/>
      <c r="D74" s="40"/>
      <c r="E74" s="65" t="e">
        <f t="shared" si="2"/>
        <v>#DIV/0!</v>
      </c>
      <c r="F74" s="82">
        <f>F31</f>
        <v>0</v>
      </c>
      <c r="G74" s="79"/>
      <c r="H74" s="40"/>
      <c r="I74" s="65" t="e">
        <f t="shared" si="3"/>
        <v>#DIV/0!</v>
      </c>
      <c r="J74" s="66">
        <f>J31</f>
        <v>0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VLOOKUP("&lt;T11Titel3&gt;",Uebersetzungen!$B$4:$E$315,Uebersetzungen!$B$2+1,FALSE)</f>
        <v>Hotel- und Kurbetriebe: Logiernächte im November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VLOOKUP("&lt;T11SpaltenTitel_1&gt;",Uebersetzungen!$B$4:$E$315,Uebersetzungen!$B$2+1,FALSE)</f>
        <v>November 2025</v>
      </c>
      <c r="D82" s="21" t="str">
        <f>VLOOKUP("&lt;T11SpaltenTitel_2&gt;",Uebersetzungen!$B$4:$E$315,Uebersetzungen!$B$2+1,FALSE)</f>
        <v>November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VLOOKUP("&lt;T11SpaltenTitel_5&gt;",Uebersetzungen!$B$4:$E$315,Uebersetzungen!$B$2+1,FALSE)</f>
        <v>Januar-November 25</v>
      </c>
      <c r="H82" s="22" t="str">
        <f>VLOOKUP("&lt;T11SpaltenTitel_6&gt;",Uebersetzungen!$B$4:$E$315,Uebersetzungen!$B$2+1,FALSE)</f>
        <v>Januar-November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/>
      <c r="D83" s="17"/>
      <c r="E83" s="10" t="e">
        <f>C83/D83-1</f>
        <v>#DIV/0!</v>
      </c>
      <c r="F83" s="80"/>
      <c r="G83" s="83"/>
      <c r="H83" s="17"/>
      <c r="I83" s="10" t="e">
        <f>G83/H83-1</f>
        <v>#DIV/0!</v>
      </c>
      <c r="J83" s="44"/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/>
      <c r="D84" s="17"/>
      <c r="E84" s="10" t="e">
        <f t="shared" ref="E84:E96" si="4">C84/D84-1</f>
        <v>#DIV/0!</v>
      </c>
      <c r="F84" s="80"/>
      <c r="G84" s="83"/>
      <c r="H84" s="17"/>
      <c r="I84" s="10" t="e">
        <f t="shared" ref="I84:I96" si="5">G84/H84-1</f>
        <v>#DIV/0!</v>
      </c>
      <c r="J84" s="44"/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/>
      <c r="D85" s="17"/>
      <c r="E85" s="10" t="e">
        <f t="shared" si="4"/>
        <v>#DIV/0!</v>
      </c>
      <c r="F85" s="80"/>
      <c r="G85" s="83"/>
      <c r="H85" s="17"/>
      <c r="I85" s="10" t="e">
        <f t="shared" si="5"/>
        <v>#DIV/0!</v>
      </c>
      <c r="J85" s="44"/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/>
      <c r="D86" s="17"/>
      <c r="E86" s="10" t="e">
        <f t="shared" si="4"/>
        <v>#DIV/0!</v>
      </c>
      <c r="F86" s="80"/>
      <c r="G86" s="83"/>
      <c r="H86" s="17"/>
      <c r="I86" s="10" t="e">
        <f t="shared" si="5"/>
        <v>#DIV/0!</v>
      </c>
      <c r="J86" s="44"/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/>
      <c r="D87" s="17"/>
      <c r="E87" s="10" t="e">
        <f t="shared" si="4"/>
        <v>#DIV/0!</v>
      </c>
      <c r="F87" s="80"/>
      <c r="G87" s="83"/>
      <c r="H87" s="17"/>
      <c r="I87" s="10" t="e">
        <f t="shared" si="5"/>
        <v>#DIV/0!</v>
      </c>
      <c r="J87" s="44"/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/>
      <c r="D88" s="62"/>
      <c r="E88" s="63" t="e">
        <f t="shared" si="4"/>
        <v>#DIV/0!</v>
      </c>
      <c r="F88" s="85"/>
      <c r="G88" s="87"/>
      <c r="H88" s="62"/>
      <c r="I88" s="63" t="e">
        <f t="shared" si="5"/>
        <v>#DIV/0!</v>
      </c>
      <c r="J88" s="64"/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/>
      <c r="D89" s="17"/>
      <c r="E89" s="10" t="e">
        <f t="shared" si="4"/>
        <v>#DIV/0!</v>
      </c>
      <c r="F89" s="80"/>
      <c r="G89" s="83"/>
      <c r="H89" s="17"/>
      <c r="I89" s="10" t="e">
        <f t="shared" si="5"/>
        <v>#DIV/0!</v>
      </c>
      <c r="J89" s="44"/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/>
      <c r="D90" s="17"/>
      <c r="E90" s="10" t="e">
        <f t="shared" si="4"/>
        <v>#DIV/0!</v>
      </c>
      <c r="F90" s="80"/>
      <c r="G90" s="83"/>
      <c r="H90" s="17"/>
      <c r="I90" s="10" t="e">
        <f t="shared" si="5"/>
        <v>#DIV/0!</v>
      </c>
      <c r="J90" s="44"/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/>
      <c r="D91" s="17"/>
      <c r="E91" s="10" t="e">
        <f t="shared" si="4"/>
        <v>#DIV/0!</v>
      </c>
      <c r="F91" s="80"/>
      <c r="G91" s="83"/>
      <c r="H91" s="17"/>
      <c r="I91" s="10" t="e">
        <f t="shared" si="5"/>
        <v>#DIV/0!</v>
      </c>
      <c r="J91" s="44"/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/>
      <c r="D92" s="17"/>
      <c r="E92" s="10" t="e">
        <f t="shared" si="4"/>
        <v>#DIV/0!</v>
      </c>
      <c r="F92" s="80"/>
      <c r="G92" s="83"/>
      <c r="H92" s="17"/>
      <c r="I92" s="10" t="e">
        <f t="shared" si="5"/>
        <v>#DIV/0!</v>
      </c>
      <c r="J92" s="44"/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/>
      <c r="D93" s="17"/>
      <c r="E93" s="10" t="e">
        <f t="shared" si="4"/>
        <v>#DIV/0!</v>
      </c>
      <c r="F93" s="80"/>
      <c r="G93" s="83"/>
      <c r="H93" s="17"/>
      <c r="I93" s="10" t="e">
        <f t="shared" si="5"/>
        <v>#DIV/0!</v>
      </c>
      <c r="J93" s="44"/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/>
      <c r="D94" s="17"/>
      <c r="E94" s="33" t="e">
        <f t="shared" si="4"/>
        <v>#DIV/0!</v>
      </c>
      <c r="F94" s="80"/>
      <c r="G94" s="83"/>
      <c r="H94" s="17"/>
      <c r="I94" s="33" t="e">
        <f t="shared" si="5"/>
        <v>#DIV/0!</v>
      </c>
      <c r="J94" s="44"/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/>
      <c r="D95" s="18"/>
      <c r="E95" s="43" t="e">
        <f t="shared" si="4"/>
        <v>#DIV/0!</v>
      </c>
      <c r="F95" s="11"/>
      <c r="G95" s="84"/>
      <c r="H95" s="18"/>
      <c r="I95" s="43" t="e">
        <f t="shared" si="5"/>
        <v>#DIV/0!</v>
      </c>
      <c r="J95" s="48"/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/>
      <c r="D96" s="40"/>
      <c r="E96" s="41" t="e">
        <f t="shared" si="4"/>
        <v>#DIV/0!</v>
      </c>
      <c r="F96" s="86"/>
      <c r="G96" s="79"/>
      <c r="H96" s="40"/>
      <c r="I96" s="41" t="e">
        <f t="shared" si="5"/>
        <v>#DIV/0!</v>
      </c>
      <c r="J96" s="45"/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VLOOKUP("&lt;T11Aktualisierung&gt;",Uebersetzungen!$B$4:$E$315,Uebersetzungen!$B$2+1,FALSE)</f>
        <v>Letztmals aktualisiert am: 22.02.2026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VLOOKUP("&lt;T11Legende_3&gt;",Uebersetzungen!$B$4:$E$315,Uebersetzungen!$B$2+1,FALSE)</f>
        <v>Daten des Dezember 2025 erscheinen am 20. Februar 2026.</v>
      </c>
    </row>
    <row r="103" spans="1:6" x14ac:dyDescent="0.2">
      <c r="A103" s="4" t="s">
        <v>47</v>
      </c>
    </row>
  </sheetData>
  <mergeCells count="1">
    <mergeCell ref="A7:D7"/>
  </mergeCells>
  <hyperlinks>
    <hyperlink ref="E33" r:id="rId1" xr:uid="{00000000-0004-0000-0100-000000000000}"/>
    <hyperlink ref="E76" location="Länder_Pajais_Paesi!A1" display="Länder / Pajais / Paese" xr:uid="{00000000-0004-0000-01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1"/>
  <dimension ref="A1:J103"/>
  <sheetViews>
    <sheetView tabSelected="1"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3" t="str">
        <f>VLOOKUP("&lt;Fachbereich&gt;",Uebersetzungen!$B$4:$E$315,Uebersetzungen!$B$2+1,FALSE)</f>
        <v>Daten &amp; Statistik</v>
      </c>
      <c r="B7" s="133"/>
      <c r="C7" s="133"/>
      <c r="D7" s="133"/>
      <c r="E7" s="95"/>
      <c r="F7" s="1"/>
    </row>
    <row r="8" spans="1:10" ht="10.5" customHeight="1" x14ac:dyDescent="0.2"/>
    <row r="9" spans="1:10" ht="18" x14ac:dyDescent="0.25">
      <c r="A9" s="2" t="str">
        <f>VLOOKUP("&lt;T10Titel1&gt;",Uebersetzungen!$B$4:$E$315,Uebersetzungen!$B$2+1,FALSE)</f>
        <v>Hotel- und Kurbetriebe: Logiernächte im Oktober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VLOOKUP("&lt;T10SpaltenTitel_1&gt;",Uebersetzungen!$B$4:$E$315,Uebersetzungen!$B$2+1,FALSE)</f>
        <v>Oktober 2025</v>
      </c>
      <c r="D12" s="21" t="str">
        <f>VLOOKUP("&lt;T10SpaltenTitel_2&gt;",Uebersetzungen!$B$4:$E$315,Uebersetzungen!$B$2+1,FALSE)</f>
        <v>Oktober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VLOOKUP("&lt;T10SpaltenTitel_5&gt;",Uebersetzungen!$B$4:$E$315,Uebersetzungen!$B$2+1,FALSE)</f>
        <v>Januar-Oktober 25</v>
      </c>
      <c r="H12" s="22" t="str">
        <f>VLOOKUP("&lt;T10SpaltenTitel_6&gt;",Uebersetzungen!$B$4:$E$315,Uebersetzungen!$B$2+1,FALSE)</f>
        <v>Januar-Oktober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13081</v>
      </c>
      <c r="D13" s="52">
        <v>12351</v>
      </c>
      <c r="E13" s="53">
        <f t="shared" ref="E13:E31" si="0">C13/D13-1</f>
        <v>5.9104525949315923E-2</v>
      </c>
      <c r="F13" s="72">
        <v>-4.8128420072185318E-2</v>
      </c>
      <c r="G13" s="76">
        <v>357004</v>
      </c>
      <c r="H13" s="52">
        <v>367695</v>
      </c>
      <c r="I13" s="53">
        <f t="shared" ref="I13:I31" si="1">G13/H13-1</f>
        <v>-2.9075728525000288E-2</v>
      </c>
      <c r="J13" s="54">
        <v>4.9451851276995251E-2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5197</v>
      </c>
      <c r="D14" s="52">
        <v>4517</v>
      </c>
      <c r="E14" s="53">
        <f t="shared" si="0"/>
        <v>0.15054239539517389</v>
      </c>
      <c r="F14" s="72">
        <v>-2.0838043560177932E-2</v>
      </c>
      <c r="G14" s="76">
        <v>56614</v>
      </c>
      <c r="H14" s="52">
        <v>53340</v>
      </c>
      <c r="I14" s="53">
        <f t="shared" si="1"/>
        <v>6.1379827521559793E-2</v>
      </c>
      <c r="J14" s="54">
        <v>2.6174950678459208E-3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4792</v>
      </c>
      <c r="D15" s="52">
        <v>4003</v>
      </c>
      <c r="E15" s="53">
        <f t="shared" si="0"/>
        <v>0.19710217336997249</v>
      </c>
      <c r="F15" s="72">
        <v>4.4782627654471607E-2</v>
      </c>
      <c r="G15" s="76">
        <v>50852</v>
      </c>
      <c r="H15" s="52">
        <v>49942</v>
      </c>
      <c r="I15" s="53">
        <f t="shared" si="1"/>
        <v>1.8221136518361325E-2</v>
      </c>
      <c r="J15" s="54">
        <v>-2.5715500956044912E-2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4814</v>
      </c>
      <c r="D16" s="52">
        <v>5274</v>
      </c>
      <c r="E16" s="53">
        <f t="shared" si="0"/>
        <v>-8.7220326128175985E-2</v>
      </c>
      <c r="F16" s="72">
        <v>-4.3892750744786491E-2</v>
      </c>
      <c r="G16" s="76">
        <v>49319</v>
      </c>
      <c r="H16" s="52">
        <v>51069</v>
      </c>
      <c r="I16" s="53">
        <f t="shared" si="1"/>
        <v>-3.4267363762752301E-2</v>
      </c>
      <c r="J16" s="54">
        <v>0.14453134065118012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21937</v>
      </c>
      <c r="D17" s="52">
        <v>20837</v>
      </c>
      <c r="E17" s="53">
        <f t="shared" si="0"/>
        <v>5.2790708835245059E-2</v>
      </c>
      <c r="F17" s="72">
        <v>0.21119932861449442</v>
      </c>
      <c r="G17" s="76">
        <v>226085</v>
      </c>
      <c r="H17" s="52">
        <v>213888</v>
      </c>
      <c r="I17" s="53">
        <f t="shared" si="1"/>
        <v>5.7025172052663109E-2</v>
      </c>
      <c r="J17" s="54">
        <v>0.37242463607998344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53681</v>
      </c>
      <c r="D18" s="52">
        <v>46063</v>
      </c>
      <c r="E18" s="53">
        <f t="shared" si="0"/>
        <v>0.16538219395176168</v>
      </c>
      <c r="F18" s="72">
        <v>0.21641770752134581</v>
      </c>
      <c r="G18" s="76">
        <v>844358</v>
      </c>
      <c r="H18" s="52">
        <v>832641</v>
      </c>
      <c r="I18" s="53">
        <f t="shared" si="1"/>
        <v>1.4072091093280337E-2</v>
      </c>
      <c r="J18" s="54">
        <v>7.8914979723976098E-2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7892</v>
      </c>
      <c r="D19" s="52">
        <v>7331</v>
      </c>
      <c r="E19" s="53">
        <f t="shared" si="0"/>
        <v>7.6524348656390684E-2</v>
      </c>
      <c r="F19" s="72">
        <v>-0.12716494503306852</v>
      </c>
      <c r="G19" s="76">
        <v>119610</v>
      </c>
      <c r="H19" s="52">
        <v>120822</v>
      </c>
      <c r="I19" s="53">
        <f t="shared" si="1"/>
        <v>-1.0031285693002934E-2</v>
      </c>
      <c r="J19" s="54">
        <v>-2.8259364814231303E-2</v>
      </c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>
        <v>46484</v>
      </c>
      <c r="D20" s="52">
        <v>44322</v>
      </c>
      <c r="E20" s="53">
        <f t="shared" si="0"/>
        <v>4.8779387211768332E-2</v>
      </c>
      <c r="F20" s="72">
        <v>-5.0820047046523875E-2</v>
      </c>
      <c r="G20" s="76">
        <v>497858</v>
      </c>
      <c r="H20" s="52">
        <v>486729</v>
      </c>
      <c r="I20" s="53">
        <f t="shared" si="1"/>
        <v>2.28648796352795E-2</v>
      </c>
      <c r="J20" s="54">
        <v>5.8346970523466268E-3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112116</v>
      </c>
      <c r="D21" s="52">
        <v>104985</v>
      </c>
      <c r="E21" s="53">
        <f t="shared" si="0"/>
        <v>6.7923989141305929E-2</v>
      </c>
      <c r="F21" s="72">
        <v>6.6487580664799761E-2</v>
      </c>
      <c r="G21" s="76">
        <v>1538254</v>
      </c>
      <c r="H21" s="52">
        <v>1481333</v>
      </c>
      <c r="I21" s="53">
        <f t="shared" si="1"/>
        <v>3.8425526198363258E-2</v>
      </c>
      <c r="J21" s="54">
        <v>9.3313621874033803E-2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23403</v>
      </c>
      <c r="D22" s="52">
        <v>25157</v>
      </c>
      <c r="E22" s="53">
        <f t="shared" si="0"/>
        <v>-6.9722144929840635E-2</v>
      </c>
      <c r="F22" s="72">
        <v>-0.21960344931073805</v>
      </c>
      <c r="G22" s="76">
        <v>427104</v>
      </c>
      <c r="H22" s="52">
        <v>415649</v>
      </c>
      <c r="I22" s="53">
        <f t="shared" si="1"/>
        <v>2.7559310860846509E-2</v>
      </c>
      <c r="J22" s="54">
        <v>-5.090277833332002E-2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22731</v>
      </c>
      <c r="D23" s="52">
        <v>21970</v>
      </c>
      <c r="E23" s="53">
        <f t="shared" si="0"/>
        <v>3.4638142922166493E-2</v>
      </c>
      <c r="F23" s="72">
        <v>-7.1590194332579071E-2</v>
      </c>
      <c r="G23" s="76">
        <v>288513</v>
      </c>
      <c r="H23" s="52">
        <v>287682</v>
      </c>
      <c r="I23" s="53">
        <f t="shared" si="1"/>
        <v>2.8886061693118581E-3</v>
      </c>
      <c r="J23" s="54">
        <v>-8.7276140581860062E-3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5444</v>
      </c>
      <c r="D24" s="52">
        <v>4351</v>
      </c>
      <c r="E24" s="53">
        <f t="shared" si="0"/>
        <v>0.25120661916800735</v>
      </c>
      <c r="F24" s="72">
        <v>5.5980137331729907E-2</v>
      </c>
      <c r="G24" s="76">
        <v>71520</v>
      </c>
      <c r="H24" s="52">
        <v>70246</v>
      </c>
      <c r="I24" s="53">
        <f t="shared" si="1"/>
        <v>1.8136263986561429E-2</v>
      </c>
      <c r="J24" s="54">
        <v>0.1112803030538454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1403</v>
      </c>
      <c r="D25" s="52">
        <v>1297</v>
      </c>
      <c r="E25" s="53">
        <f t="shared" si="0"/>
        <v>8.1727062451811827E-2</v>
      </c>
      <c r="F25" s="72">
        <v>-1.5656134358098539E-3</v>
      </c>
      <c r="G25" s="76">
        <v>27201</v>
      </c>
      <c r="H25" s="52">
        <v>21931</v>
      </c>
      <c r="I25" s="53">
        <f t="shared" si="1"/>
        <v>0.24029911996716979</v>
      </c>
      <c r="J25" s="54">
        <v>0.25957379812367432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4337</v>
      </c>
      <c r="D26" s="52">
        <v>3587</v>
      </c>
      <c r="E26" s="53">
        <f t="shared" si="0"/>
        <v>0.20908837468636743</v>
      </c>
      <c r="F26" s="72">
        <v>0.35964637281334255</v>
      </c>
      <c r="G26" s="76">
        <v>91500</v>
      </c>
      <c r="H26" s="52">
        <v>85756</v>
      </c>
      <c r="I26" s="53">
        <f t="shared" si="1"/>
        <v>6.6980736041792888E-2</v>
      </c>
      <c r="J26" s="54">
        <v>0.28685105437402769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7472</v>
      </c>
      <c r="D27" s="52">
        <v>5924</v>
      </c>
      <c r="E27" s="53">
        <f t="shared" si="0"/>
        <v>0.26130992572586087</v>
      </c>
      <c r="F27" s="72">
        <v>4.5268871355828022E-2</v>
      </c>
      <c r="G27" s="77">
        <v>96793</v>
      </c>
      <c r="H27" s="52">
        <v>88935</v>
      </c>
      <c r="I27" s="53">
        <f t="shared" si="1"/>
        <v>8.8356664980041577E-2</v>
      </c>
      <c r="J27" s="54">
        <v>1.7216157251132014E-2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8900</v>
      </c>
      <c r="D28" s="52">
        <v>7191</v>
      </c>
      <c r="E28" s="53">
        <f t="shared" si="0"/>
        <v>0.2376581838409122</v>
      </c>
      <c r="F28" s="72">
        <v>6.1849766154433494E-2</v>
      </c>
      <c r="G28" s="76">
        <v>73772</v>
      </c>
      <c r="H28" s="52">
        <v>67491</v>
      </c>
      <c r="I28" s="53">
        <f t="shared" si="1"/>
        <v>9.3064260419907896E-2</v>
      </c>
      <c r="J28" s="54">
        <v>8.2218186405818461E-2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5039</v>
      </c>
      <c r="D29" s="55">
        <v>4900</v>
      </c>
      <c r="E29" s="53">
        <f t="shared" si="0"/>
        <v>2.8367346938775517E-2</v>
      </c>
      <c r="F29" s="72">
        <v>-0.23962577335144108</v>
      </c>
      <c r="G29" s="77">
        <v>53867</v>
      </c>
      <c r="H29" s="55">
        <v>54939</v>
      </c>
      <c r="I29" s="53">
        <f t="shared" si="1"/>
        <v>-1.9512550283041219E-2</v>
      </c>
      <c r="J29" s="54">
        <v>-0.11843453271318649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7292</v>
      </c>
      <c r="D30" s="57">
        <v>5965</v>
      </c>
      <c r="E30" s="53">
        <f t="shared" si="0"/>
        <v>0.22246437552388931</v>
      </c>
      <c r="F30" s="73">
        <v>0.10081217354548477</v>
      </c>
      <c r="G30" s="78">
        <v>83812</v>
      </c>
      <c r="H30" s="57">
        <v>83205</v>
      </c>
      <c r="I30" s="53">
        <f t="shared" si="1"/>
        <v>7.2952346613786023E-3</v>
      </c>
      <c r="J30" s="58">
        <v>2.2923384488453102E-2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356015</v>
      </c>
      <c r="D31" s="19">
        <v>330025</v>
      </c>
      <c r="E31" s="12">
        <f t="shared" si="0"/>
        <v>7.8751609726535943E-2</v>
      </c>
      <c r="F31" s="74">
        <v>2.5806001749559382E-2</v>
      </c>
      <c r="G31" s="79">
        <v>4954036</v>
      </c>
      <c r="H31" s="19">
        <v>4833293</v>
      </c>
      <c r="I31" s="12">
        <f t="shared" si="1"/>
        <v>2.4981518811294956E-2</v>
      </c>
      <c r="J31" s="47">
        <v>6.1100753161871024E-2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VLOOKUP("&lt;T10Titel2&gt;",Uebersetzungen!$B$4:$E$315,Uebersetzungen!$B$2+1,FALSE)</f>
        <v>Hotel- und Kurbetriebe: Logiernächte im Oktober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VLOOKUP("&lt;T10SpaltenTitel_1&gt;",Uebersetzungen!$B$4:$E$315,Uebersetzungen!$B$2+1,FALSE)</f>
        <v>Oktober 2025</v>
      </c>
      <c r="D39" s="21" t="str">
        <f>VLOOKUP("&lt;T10SpaltenTitel_2&gt;",Uebersetzungen!$B$4:$E$315,Uebersetzungen!$B$2+1,FALSE)</f>
        <v>Oktober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VLOOKUP("&lt;T10SpaltenTitel_5&gt;",Uebersetzungen!$B$4:$E$315,Uebersetzungen!$B$2+1,FALSE)</f>
        <v>Januar-Oktober 25</v>
      </c>
      <c r="H39" s="22" t="str">
        <f>VLOOKUP("&lt;T10SpaltenTitel_6&gt;",Uebersetzungen!$B$4:$E$315,Uebersetzungen!$B$2+1,FALSE)</f>
        <v>Januar-Oktober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277062</v>
      </c>
      <c r="D40" s="17">
        <v>255469</v>
      </c>
      <c r="E40" s="10">
        <f>C40/D40-1</f>
        <v>8.4522975390360466E-2</v>
      </c>
      <c r="F40" s="80">
        <v>-5.4158959957886998E-2</v>
      </c>
      <c r="G40" s="83">
        <v>3118574</v>
      </c>
      <c r="H40" s="17">
        <v>3071954</v>
      </c>
      <c r="I40" s="10">
        <f>G40/H40-1</f>
        <v>1.5176008494918847E-2</v>
      </c>
      <c r="J40" s="44">
        <v>-4.2438628788687427E-2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29553</v>
      </c>
      <c r="D41" s="17">
        <v>25414</v>
      </c>
      <c r="E41" s="10">
        <f t="shared" ref="E41:E74" si="2">C41/D41-1</f>
        <v>0.16286298890375384</v>
      </c>
      <c r="F41" s="80">
        <v>0.26134239302085382</v>
      </c>
      <c r="G41" s="83">
        <v>663855</v>
      </c>
      <c r="H41" s="17">
        <v>673947</v>
      </c>
      <c r="I41" s="10">
        <f t="shared" ref="I41:I74" si="3">G41/H41-1</f>
        <v>-1.4974471286317792E-2</v>
      </c>
      <c r="J41" s="44">
        <v>0.12999211556216439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6418</v>
      </c>
      <c r="D42" s="17">
        <v>6082</v>
      </c>
      <c r="E42" s="10">
        <f t="shared" si="2"/>
        <v>5.5244985202236085E-2</v>
      </c>
      <c r="F42" s="80">
        <v>0.83591738657817949</v>
      </c>
      <c r="G42" s="83">
        <v>153195</v>
      </c>
      <c r="H42" s="17">
        <v>132258</v>
      </c>
      <c r="I42" s="10">
        <f t="shared" si="3"/>
        <v>0.15830422356303586</v>
      </c>
      <c r="J42" s="44">
        <v>0.9467374563494686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6425</v>
      </c>
      <c r="D43" s="17">
        <v>5995</v>
      </c>
      <c r="E43" s="10">
        <f t="shared" si="2"/>
        <v>7.1726438698915818E-2</v>
      </c>
      <c r="F43" s="80">
        <v>1.0536342133861791</v>
      </c>
      <c r="G43" s="83">
        <v>159985</v>
      </c>
      <c r="H43" s="17">
        <v>142982</v>
      </c>
      <c r="I43" s="10">
        <f t="shared" si="3"/>
        <v>0.118917066483893</v>
      </c>
      <c r="J43" s="44">
        <v>0.60113410955586377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1147</v>
      </c>
      <c r="D44" s="17">
        <v>2940</v>
      </c>
      <c r="E44" s="10">
        <f t="shared" si="2"/>
        <v>-0.60986394557823131</v>
      </c>
      <c r="F44" s="80">
        <v>-8.0634818852196144E-2</v>
      </c>
      <c r="G44" s="83">
        <v>80728</v>
      </c>
      <c r="H44" s="17">
        <v>97281</v>
      </c>
      <c r="I44" s="10">
        <f t="shared" si="3"/>
        <v>-0.17015655677881603</v>
      </c>
      <c r="J44" s="44">
        <v>-0.28993874657406526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5243</v>
      </c>
      <c r="D45" s="17">
        <v>5051</v>
      </c>
      <c r="E45" s="10">
        <f t="shared" si="2"/>
        <v>3.8012274797069923E-2</v>
      </c>
      <c r="F45" s="80">
        <v>0.58965496331332257</v>
      </c>
      <c r="G45" s="83">
        <v>99008</v>
      </c>
      <c r="H45" s="17">
        <v>93733</v>
      </c>
      <c r="I45" s="10">
        <f t="shared" si="3"/>
        <v>5.6276871539372442E-2</v>
      </c>
      <c r="J45" s="44">
        <v>0.31295717718450478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3133</v>
      </c>
      <c r="D46" s="17">
        <v>4113</v>
      </c>
      <c r="E46" s="10">
        <f t="shared" si="2"/>
        <v>-0.23826890347678098</v>
      </c>
      <c r="F46" s="80">
        <v>0.17569798859201424</v>
      </c>
      <c r="G46" s="83">
        <v>45007</v>
      </c>
      <c r="H46" s="17">
        <v>45628</v>
      </c>
      <c r="I46" s="10">
        <f t="shared" si="3"/>
        <v>-1.361006399579201E-2</v>
      </c>
      <c r="J46" s="44">
        <v>0.2149671469989578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4171</v>
      </c>
      <c r="D47" s="17">
        <v>3278</v>
      </c>
      <c r="E47" s="10">
        <f t="shared" si="2"/>
        <v>0.2724222086638195</v>
      </c>
      <c r="F47" s="80">
        <v>0.21461852067559706</v>
      </c>
      <c r="G47" s="83">
        <v>89119</v>
      </c>
      <c r="H47" s="17">
        <v>85461</v>
      </c>
      <c r="I47" s="10">
        <f t="shared" si="3"/>
        <v>4.2803149974842247E-2</v>
      </c>
      <c r="J47" s="44">
        <v>0.26752250048357529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1583</v>
      </c>
      <c r="D48" s="17">
        <v>2290</v>
      </c>
      <c r="E48" s="10">
        <f t="shared" si="2"/>
        <v>-0.30873362445414843</v>
      </c>
      <c r="F48" s="80">
        <v>4.4333025465100873E-2</v>
      </c>
      <c r="G48" s="83">
        <v>59253</v>
      </c>
      <c r="H48" s="17">
        <v>56293</v>
      </c>
      <c r="I48" s="10">
        <f t="shared" si="3"/>
        <v>5.2582026184427866E-2</v>
      </c>
      <c r="J48" s="44">
        <v>0.30920974135302459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1504</v>
      </c>
      <c r="D49" s="17">
        <v>1559</v>
      </c>
      <c r="E49" s="10">
        <f t="shared" si="2"/>
        <v>-3.527902501603597E-2</v>
      </c>
      <c r="F49" s="80">
        <v>1.1841417368573919</v>
      </c>
      <c r="G49" s="83">
        <v>23979</v>
      </c>
      <c r="H49" s="17">
        <v>22885</v>
      </c>
      <c r="I49" s="10">
        <f t="shared" si="3"/>
        <v>4.7804238584225445E-2</v>
      </c>
      <c r="J49" s="44">
        <v>1.0052013647310676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1540</v>
      </c>
      <c r="D50" s="17">
        <v>1679</v>
      </c>
      <c r="E50" s="10">
        <f t="shared" si="2"/>
        <v>-8.2787373436569389E-2</v>
      </c>
      <c r="F50" s="80">
        <v>1.2720566538802007</v>
      </c>
      <c r="G50" s="83">
        <v>16639</v>
      </c>
      <c r="H50" s="17">
        <v>17105</v>
      </c>
      <c r="I50" s="10">
        <f t="shared" si="3"/>
        <v>-2.7243496053785399E-2</v>
      </c>
      <c r="J50" s="44">
        <v>1.6841426036457499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1582</v>
      </c>
      <c r="D51" s="17">
        <v>1129</v>
      </c>
      <c r="E51" s="10">
        <f t="shared" si="2"/>
        <v>0.40124003542958375</v>
      </c>
      <c r="F51" s="80">
        <v>2.1264822134387353</v>
      </c>
      <c r="G51" s="83">
        <v>37668</v>
      </c>
      <c r="H51" s="17">
        <v>35105</v>
      </c>
      <c r="I51" s="10">
        <f t="shared" si="3"/>
        <v>7.3009542800170912E-2</v>
      </c>
      <c r="J51" s="44">
        <v>1.0492454328832408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744</v>
      </c>
      <c r="D52" s="17">
        <v>679</v>
      </c>
      <c r="E52" s="10">
        <f t="shared" si="2"/>
        <v>9.5729013254786555E-2</v>
      </c>
      <c r="F52" s="80">
        <v>0.68707482993197289</v>
      </c>
      <c r="G52" s="83">
        <v>16427</v>
      </c>
      <c r="H52" s="17">
        <v>13061</v>
      </c>
      <c r="I52" s="10">
        <f t="shared" si="3"/>
        <v>0.25771380445601411</v>
      </c>
      <c r="J52" s="44">
        <v>1.0301801913142348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715</v>
      </c>
      <c r="D53" s="17">
        <v>494</v>
      </c>
      <c r="E53" s="10">
        <f t="shared" si="2"/>
        <v>0.44736842105263164</v>
      </c>
      <c r="F53" s="80">
        <v>1.2843450479233227</v>
      </c>
      <c r="G53" s="83">
        <v>20481</v>
      </c>
      <c r="H53" s="17">
        <v>15995</v>
      </c>
      <c r="I53" s="10">
        <f t="shared" si="3"/>
        <v>0.28046264457643022</v>
      </c>
      <c r="J53" s="44">
        <v>1.7326217478318879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1265</v>
      </c>
      <c r="D54" s="17">
        <v>1212</v>
      </c>
      <c r="E54" s="10">
        <f t="shared" si="2"/>
        <v>4.372937293729362E-2</v>
      </c>
      <c r="F54" s="80">
        <v>1.6892006802721089</v>
      </c>
      <c r="G54" s="83">
        <v>15202</v>
      </c>
      <c r="H54" s="17">
        <v>14130</v>
      </c>
      <c r="I54" s="10">
        <f t="shared" si="3"/>
        <v>7.5866949752300128E-2</v>
      </c>
      <c r="J54" s="44">
        <v>1.383281597842787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643</v>
      </c>
      <c r="D55" s="17">
        <v>631</v>
      </c>
      <c r="E55" s="10">
        <f t="shared" si="2"/>
        <v>1.9017432646592614E-2</v>
      </c>
      <c r="F55" s="80">
        <v>0.25</v>
      </c>
      <c r="G55" s="83">
        <v>30770</v>
      </c>
      <c r="H55" s="17">
        <v>26941</v>
      </c>
      <c r="I55" s="10">
        <f t="shared" si="3"/>
        <v>0.14212538510077577</v>
      </c>
      <c r="J55" s="44">
        <v>-0.16614273945280322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1541</v>
      </c>
      <c r="D56" s="17">
        <v>1237</v>
      </c>
      <c r="E56" s="10">
        <f t="shared" si="2"/>
        <v>0.24575586095392077</v>
      </c>
      <c r="F56" s="80">
        <v>1.7906555595798621</v>
      </c>
      <c r="G56" s="83">
        <v>30786</v>
      </c>
      <c r="H56" s="17">
        <v>24991</v>
      </c>
      <c r="I56" s="10">
        <f t="shared" si="3"/>
        <v>0.23188347805209886</v>
      </c>
      <c r="J56" s="44">
        <v>1.0598428990084172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541</v>
      </c>
      <c r="D57" s="17">
        <v>500</v>
      </c>
      <c r="E57" s="10">
        <f t="shared" si="2"/>
        <v>8.2000000000000073E-2</v>
      </c>
      <c r="F57" s="80">
        <v>0.27956480605487233</v>
      </c>
      <c r="G57" s="83">
        <v>15235</v>
      </c>
      <c r="H57" s="17">
        <v>11651</v>
      </c>
      <c r="I57" s="10">
        <f t="shared" si="3"/>
        <v>0.30761308042228142</v>
      </c>
      <c r="J57" s="44">
        <v>1.3843433078752971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466</v>
      </c>
      <c r="D58" s="17">
        <v>450</v>
      </c>
      <c r="E58" s="10">
        <f t="shared" si="2"/>
        <v>3.5555555555555562E-2</v>
      </c>
      <c r="F58" s="80">
        <v>0.21480709071949944</v>
      </c>
      <c r="G58" s="83">
        <v>20431</v>
      </c>
      <c r="H58" s="17">
        <v>19683</v>
      </c>
      <c r="I58" s="10">
        <f t="shared" si="3"/>
        <v>3.800233704211764E-2</v>
      </c>
      <c r="J58" s="44">
        <v>0.29177678582719002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717</v>
      </c>
      <c r="D59" s="17">
        <v>276</v>
      </c>
      <c r="E59" s="10">
        <f t="shared" si="2"/>
        <v>1.597826086956522</v>
      </c>
      <c r="F59" s="80">
        <v>1.139021479713604</v>
      </c>
      <c r="G59" s="83">
        <v>15462</v>
      </c>
      <c r="H59" s="17">
        <v>14394</v>
      </c>
      <c r="I59" s="10">
        <f t="shared" si="3"/>
        <v>7.4197582325969069E-2</v>
      </c>
      <c r="J59" s="44">
        <v>0.30934033364383118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411</v>
      </c>
      <c r="D60" s="17">
        <v>950</v>
      </c>
      <c r="E60" s="10">
        <f t="shared" si="2"/>
        <v>-0.56736842105263152</v>
      </c>
      <c r="F60" s="80">
        <v>-0.11764705882352944</v>
      </c>
      <c r="G60" s="83">
        <v>14226</v>
      </c>
      <c r="H60" s="17">
        <v>14168</v>
      </c>
      <c r="I60" s="10">
        <f t="shared" si="3"/>
        <v>4.0937323546019755E-3</v>
      </c>
      <c r="J60" s="44">
        <v>0.29777956175080744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626</v>
      </c>
      <c r="D61" s="17">
        <v>474</v>
      </c>
      <c r="E61" s="10">
        <f t="shared" si="2"/>
        <v>0.32067510548523215</v>
      </c>
      <c r="F61" s="80">
        <v>0.89238210399032636</v>
      </c>
      <c r="G61" s="83">
        <v>15583</v>
      </c>
      <c r="H61" s="17">
        <v>13708</v>
      </c>
      <c r="I61" s="10">
        <f t="shared" si="3"/>
        <v>0.13678144149401805</v>
      </c>
      <c r="J61" s="44">
        <v>0.69760550798527143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210</v>
      </c>
      <c r="D62" s="17">
        <v>221</v>
      </c>
      <c r="E62" s="10">
        <f t="shared" si="2"/>
        <v>-4.9773755656108642E-2</v>
      </c>
      <c r="F62" s="80">
        <v>8.0246913580246826E-2</v>
      </c>
      <c r="G62" s="83">
        <v>12519</v>
      </c>
      <c r="H62" s="17">
        <v>12917</v>
      </c>
      <c r="I62" s="10">
        <f t="shared" si="3"/>
        <v>-3.0812108074630307E-2</v>
      </c>
      <c r="J62" s="44">
        <v>5.3255931347804042E-2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185</v>
      </c>
      <c r="D63" s="17">
        <v>328</v>
      </c>
      <c r="E63" s="10">
        <f t="shared" si="2"/>
        <v>-0.43597560975609762</v>
      </c>
      <c r="F63" s="80">
        <v>-5.8044806517311587E-2</v>
      </c>
      <c r="G63" s="83">
        <v>13068</v>
      </c>
      <c r="H63" s="17">
        <v>11236</v>
      </c>
      <c r="I63" s="10">
        <f t="shared" si="3"/>
        <v>0.1630473478106087</v>
      </c>
      <c r="J63" s="44">
        <v>0.74244646523907298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267</v>
      </c>
      <c r="D66" s="17">
        <v>216</v>
      </c>
      <c r="E66" s="10">
        <f t="shared" si="2"/>
        <v>0.23611111111111116</v>
      </c>
      <c r="F66" s="80">
        <v>0.71593830334190245</v>
      </c>
      <c r="G66" s="83">
        <v>14611</v>
      </c>
      <c r="H66" s="17">
        <v>14246</v>
      </c>
      <c r="I66" s="10">
        <f t="shared" si="3"/>
        <v>2.562122701109093E-2</v>
      </c>
      <c r="J66" s="44">
        <v>0.9867558673955017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2294</v>
      </c>
      <c r="D67" s="17">
        <v>1781</v>
      </c>
      <c r="E67" s="10">
        <f t="shared" si="2"/>
        <v>0.28804042672655816</v>
      </c>
      <c r="F67" s="80">
        <v>0.48825742831192409</v>
      </c>
      <c r="G67" s="83">
        <v>46275</v>
      </c>
      <c r="H67" s="17">
        <v>39177</v>
      </c>
      <c r="I67" s="10">
        <f t="shared" si="3"/>
        <v>0.18117773183245278</v>
      </c>
      <c r="J67" s="44">
        <v>0.48114125494513904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2709</v>
      </c>
      <c r="D68" s="17">
        <v>2743</v>
      </c>
      <c r="E68" s="10">
        <f t="shared" si="2"/>
        <v>-1.239518775063797E-2</v>
      </c>
      <c r="F68" s="80">
        <v>0.39222941720629056</v>
      </c>
      <c r="G68" s="83">
        <v>30461</v>
      </c>
      <c r="H68" s="17">
        <v>33614</v>
      </c>
      <c r="I68" s="10">
        <f t="shared" si="3"/>
        <v>-9.3800202296662083E-2</v>
      </c>
      <c r="J68" s="44">
        <v>0.42556955390404139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1092</v>
      </c>
      <c r="D69" s="17">
        <v>821</v>
      </c>
      <c r="E69" s="10">
        <f t="shared" si="2"/>
        <v>0.33008526187576126</v>
      </c>
      <c r="F69" s="80">
        <v>0.46302250803858525</v>
      </c>
      <c r="G69" s="83">
        <v>43034</v>
      </c>
      <c r="H69" s="17">
        <v>36326</v>
      </c>
      <c r="I69" s="10">
        <f t="shared" si="3"/>
        <v>0.18466112426361292</v>
      </c>
      <c r="J69" s="44">
        <v>0.24930326536299874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1480</v>
      </c>
      <c r="D70" s="17">
        <v>1419</v>
      </c>
      <c r="E70" s="10">
        <f t="shared" si="2"/>
        <v>4.2988019732205673E-2</v>
      </c>
      <c r="F70" s="80">
        <v>1.6494808449695668</v>
      </c>
      <c r="G70" s="83">
        <v>20286</v>
      </c>
      <c r="H70" s="17">
        <v>15164</v>
      </c>
      <c r="I70" s="10">
        <f t="shared" si="3"/>
        <v>0.3377736744922184</v>
      </c>
      <c r="J70" s="44">
        <v>1.6091989504553168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144</v>
      </c>
      <c r="D71" s="17">
        <v>123</v>
      </c>
      <c r="E71" s="10">
        <f t="shared" si="2"/>
        <v>0.1707317073170731</v>
      </c>
      <c r="F71" s="80">
        <v>4.1841004184099972E-3</v>
      </c>
      <c r="G71" s="83">
        <v>5814</v>
      </c>
      <c r="H71" s="17">
        <v>6638</v>
      </c>
      <c r="I71" s="10">
        <f t="shared" si="3"/>
        <v>-0.12413377523350411</v>
      </c>
      <c r="J71" s="44">
        <v>0.34939423478624154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604</v>
      </c>
      <c r="D72" s="17">
        <v>471</v>
      </c>
      <c r="E72" s="10">
        <f t="shared" si="2"/>
        <v>0.28237791932059442</v>
      </c>
      <c r="F72" s="80">
        <v>0.80838323353293418</v>
      </c>
      <c r="G72" s="83">
        <v>26355</v>
      </c>
      <c r="H72" s="17">
        <v>20621</v>
      </c>
      <c r="I72" s="10">
        <f t="shared" si="3"/>
        <v>0.27806604917317301</v>
      </c>
      <c r="J72" s="44">
        <v>0.91186071817192627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42</v>
      </c>
      <c r="F73" s="81" t="s">
        <v>42</v>
      </c>
      <c r="G73" s="84">
        <v>0</v>
      </c>
      <c r="H73" s="18">
        <v>0</v>
      </c>
      <c r="I73" s="11" t="s">
        <v>42</v>
      </c>
      <c r="J73" s="46" t="s">
        <v>42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356015</v>
      </c>
      <c r="D74" s="40">
        <v>330025</v>
      </c>
      <c r="E74" s="65">
        <f t="shared" si="2"/>
        <v>7.8751609726535943E-2</v>
      </c>
      <c r="F74" s="82">
        <v>2.5806001749559382E-2</v>
      </c>
      <c r="G74" s="79">
        <v>4954036</v>
      </c>
      <c r="H74" s="40">
        <v>4833293</v>
      </c>
      <c r="I74" s="65">
        <f t="shared" si="3"/>
        <v>2.4981518811294956E-2</v>
      </c>
      <c r="J74" s="66">
        <v>6.1100753161871024E-2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VLOOKUP("&lt;T10Titel3&gt;",Uebersetzungen!$B$4:$E$315,Uebersetzungen!$B$2+1,FALSE)</f>
        <v>Hotel- und Kurbetriebe: Logiernächte im Oktober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VLOOKUP("&lt;T10SpaltenTitel_1&gt;",Uebersetzungen!$B$4:$E$315,Uebersetzungen!$B$2+1,FALSE)</f>
        <v>Oktober 2025</v>
      </c>
      <c r="D82" s="21" t="str">
        <f>VLOOKUP("&lt;T10SpaltenTitel_2&gt;",Uebersetzungen!$B$4:$E$315,Uebersetzungen!$B$2+1,FALSE)</f>
        <v>Oktober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VLOOKUP("&lt;T10SpaltenTitel_5&gt;",Uebersetzungen!$B$4:$E$315,Uebersetzungen!$B$2+1,FALSE)</f>
        <v>Januar-Oktober 25</v>
      </c>
      <c r="H82" s="22" t="str">
        <f>VLOOKUP("&lt;T10SpaltenTitel_6&gt;",Uebersetzungen!$B$4:$E$315,Uebersetzungen!$B$2+1,FALSE)</f>
        <v>Januar-Oktober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102254</v>
      </c>
      <c r="D83" s="17">
        <v>104934</v>
      </c>
      <c r="E83" s="10">
        <f>C83/D83-1</f>
        <v>-2.553986315207657E-2</v>
      </c>
      <c r="F83" s="80">
        <v>0.11822665485603046</v>
      </c>
      <c r="G83" s="83">
        <v>1074550</v>
      </c>
      <c r="H83" s="17">
        <v>1037969</v>
      </c>
      <c r="I83" s="10">
        <f>G83/H83-1</f>
        <v>3.524286370787566E-2</v>
      </c>
      <c r="J83" s="44">
        <v>0.29756072349923479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176361</v>
      </c>
      <c r="D84" s="17">
        <v>169113</v>
      </c>
      <c r="E84" s="10">
        <f t="shared" ref="E84:E96" si="4">C84/D84-1</f>
        <v>4.2858916818931725E-2</v>
      </c>
      <c r="F84" s="80">
        <v>0.3474150497675883</v>
      </c>
      <c r="G84" s="83">
        <v>1609759</v>
      </c>
      <c r="H84" s="17">
        <v>1488224</v>
      </c>
      <c r="I84" s="10">
        <f t="shared" ref="I84:I96" si="5">G84/H84-1</f>
        <v>8.1664453738147014E-2</v>
      </c>
      <c r="J84" s="44">
        <v>0.43828391507672304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494059</v>
      </c>
      <c r="D85" s="17">
        <v>477693</v>
      </c>
      <c r="E85" s="10">
        <f t="shared" si="4"/>
        <v>3.4260497851130278E-2</v>
      </c>
      <c r="F85" s="80">
        <v>0.18863959843214539</v>
      </c>
      <c r="G85" s="83">
        <v>5402200</v>
      </c>
      <c r="H85" s="17">
        <v>5475799</v>
      </c>
      <c r="I85" s="10">
        <f t="shared" si="5"/>
        <v>-1.3440778231633366E-2</v>
      </c>
      <c r="J85" s="44">
        <v>0.23347204090463824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46824</v>
      </c>
      <c r="D86" s="17">
        <v>43040</v>
      </c>
      <c r="E86" s="10">
        <f t="shared" si="4"/>
        <v>8.7918215613382866E-2</v>
      </c>
      <c r="F86" s="80">
        <v>0.12136640786278452</v>
      </c>
      <c r="G86" s="83">
        <v>445717</v>
      </c>
      <c r="H86" s="17">
        <v>419910</v>
      </c>
      <c r="I86" s="10">
        <f t="shared" si="5"/>
        <v>6.1458407754042543E-2</v>
      </c>
      <c r="J86" s="44">
        <v>0.17909122701759239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317017</v>
      </c>
      <c r="D87" s="17">
        <v>310355</v>
      </c>
      <c r="E87" s="10">
        <f t="shared" si="4"/>
        <v>2.1465740845161285E-2</v>
      </c>
      <c r="F87" s="80">
        <v>0.39306615435048364</v>
      </c>
      <c r="G87" s="83">
        <v>3199810</v>
      </c>
      <c r="H87" s="17">
        <v>3187308</v>
      </c>
      <c r="I87" s="10">
        <f t="shared" si="5"/>
        <v>3.9224323472974998E-3</v>
      </c>
      <c r="J87" s="44">
        <v>0.48514598737996528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356015</v>
      </c>
      <c r="D88" s="62">
        <v>330025</v>
      </c>
      <c r="E88" s="63">
        <f t="shared" si="4"/>
        <v>7.8751609726535943E-2</v>
      </c>
      <c r="F88" s="85">
        <v>2.5806001749559382E-2</v>
      </c>
      <c r="G88" s="87">
        <v>4954036</v>
      </c>
      <c r="H88" s="62">
        <v>4833293</v>
      </c>
      <c r="I88" s="63">
        <f t="shared" si="5"/>
        <v>2.4981518811294956E-2</v>
      </c>
      <c r="J88" s="64">
        <v>6.1100753161871024E-2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51742</v>
      </c>
      <c r="D89" s="17">
        <v>54930</v>
      </c>
      <c r="E89" s="10">
        <f t="shared" si="4"/>
        <v>-5.8037502275623543E-2</v>
      </c>
      <c r="F89" s="80">
        <v>-7.2753505291511811E-3</v>
      </c>
      <c r="G89" s="83">
        <v>539703</v>
      </c>
      <c r="H89" s="17">
        <v>540217</v>
      </c>
      <c r="I89" s="10">
        <f t="shared" si="5"/>
        <v>-9.5146950207047887E-4</v>
      </c>
      <c r="J89" s="44">
        <v>9.3698008090523865E-2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350345</v>
      </c>
      <c r="D90" s="17">
        <v>339893</v>
      </c>
      <c r="E90" s="10">
        <f t="shared" si="4"/>
        <v>3.0750853945212153E-2</v>
      </c>
      <c r="F90" s="80">
        <v>0.19427462674763385</v>
      </c>
      <c r="G90" s="83">
        <v>3651877</v>
      </c>
      <c r="H90" s="17">
        <v>3561109</v>
      </c>
      <c r="I90" s="10">
        <f t="shared" si="5"/>
        <v>2.5488689057257208E-2</v>
      </c>
      <c r="J90" s="44">
        <v>0.27200305012362413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178263</v>
      </c>
      <c r="D91" s="17">
        <v>180226</v>
      </c>
      <c r="E91" s="10">
        <f t="shared" si="4"/>
        <v>-1.0891880194866421E-2</v>
      </c>
      <c r="F91" s="80">
        <v>8.1004079610655921E-3</v>
      </c>
      <c r="G91" s="83">
        <v>1778358</v>
      </c>
      <c r="H91" s="17">
        <v>1782842</v>
      </c>
      <c r="I91" s="10">
        <f t="shared" si="5"/>
        <v>-2.5150854646681653E-3</v>
      </c>
      <c r="J91" s="44">
        <v>7.9712390465860983E-2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249978</v>
      </c>
      <c r="D92" s="17">
        <v>228846</v>
      </c>
      <c r="E92" s="10">
        <f t="shared" si="4"/>
        <v>9.2341574683411531E-2</v>
      </c>
      <c r="F92" s="80">
        <v>-4.3792057726381062E-2</v>
      </c>
      <c r="G92" s="83">
        <v>2294239</v>
      </c>
      <c r="H92" s="17">
        <v>2223069</v>
      </c>
      <c r="I92" s="10">
        <f t="shared" si="5"/>
        <v>3.2014300950622854E-2</v>
      </c>
      <c r="J92" s="44">
        <v>1.989726489335375E-4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238268</v>
      </c>
      <c r="D93" s="17">
        <v>229155</v>
      </c>
      <c r="E93" s="10">
        <f t="shared" si="4"/>
        <v>3.9767842726538882E-2</v>
      </c>
      <c r="F93" s="80">
        <v>0.16310220467490266</v>
      </c>
      <c r="G93" s="83">
        <v>2638922</v>
      </c>
      <c r="H93" s="17">
        <v>2521273</v>
      </c>
      <c r="I93" s="10">
        <f t="shared" si="5"/>
        <v>4.6662539122102276E-2</v>
      </c>
      <c r="J93" s="44">
        <v>0.2570894988432908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256220</v>
      </c>
      <c r="D94" s="17">
        <v>247549</v>
      </c>
      <c r="E94" s="33">
        <f t="shared" si="4"/>
        <v>3.5027408715042174E-2</v>
      </c>
      <c r="F94" s="80">
        <v>1.7429162755310257E-2</v>
      </c>
      <c r="G94" s="83">
        <v>3957612</v>
      </c>
      <c r="H94" s="17">
        <v>3890125</v>
      </c>
      <c r="I94" s="33">
        <f t="shared" si="5"/>
        <v>1.7348285723466361E-2</v>
      </c>
      <c r="J94" s="44">
        <v>0.13215209514442816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657196</v>
      </c>
      <c r="D95" s="18">
        <v>621929</v>
      </c>
      <c r="E95" s="43">
        <f t="shared" si="4"/>
        <v>5.6705829765133942E-2</v>
      </c>
      <c r="F95" s="11">
        <v>0.37477371112088242</v>
      </c>
      <c r="G95" s="84">
        <v>6331432</v>
      </c>
      <c r="H95" s="18">
        <v>6140641</v>
      </c>
      <c r="I95" s="43">
        <f t="shared" si="5"/>
        <v>3.1070209119862247E-2</v>
      </c>
      <c r="J95" s="48">
        <v>0.47862043453668468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3474542</v>
      </c>
      <c r="D96" s="40">
        <v>3337688</v>
      </c>
      <c r="E96" s="41">
        <f t="shared" si="4"/>
        <v>4.1002634158735063E-2</v>
      </c>
      <c r="F96" s="86">
        <v>0.16876861950870414</v>
      </c>
      <c r="G96" s="79">
        <v>37878215</v>
      </c>
      <c r="H96" s="40">
        <v>37101779</v>
      </c>
      <c r="I96" s="41">
        <f t="shared" si="5"/>
        <v>2.0927190580268373E-2</v>
      </c>
      <c r="J96" s="45">
        <v>0.23339602371634083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VLOOKUP("&lt;T10Aktualisierung&gt;",Uebersetzungen!$B$4:$E$315,Uebersetzungen!$B$2+1,FALSE)</f>
        <v>Letztmals aktualisiert am: 08.12.2025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VLOOKUP("&lt;T10Legende_3&gt;",Uebersetzungen!$B$4:$E$315,Uebersetzungen!$B$2+1,FALSE)</f>
        <v>Daten des November 2025 erscheinen am 15. Januar 2026.</v>
      </c>
    </row>
    <row r="103" spans="1:6" x14ac:dyDescent="0.2">
      <c r="A103" s="4" t="s">
        <v>47</v>
      </c>
    </row>
  </sheetData>
  <sheetProtection sheet="1" objects="1" scenarios="1"/>
  <mergeCells count="1">
    <mergeCell ref="A7:D7"/>
  </mergeCells>
  <hyperlinks>
    <hyperlink ref="E33" r:id="rId1" xr:uid="{00000000-0004-0000-0200-000000000000}"/>
    <hyperlink ref="E76" location="Länder_Pajais_Paesi!A1" display="Länder / Pajais / Paese" xr:uid="{00000000-0004-0000-02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0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3" t="str">
        <f>VLOOKUP("&lt;Fachbereich&gt;",Uebersetzungen!$B$4:$E$315,Uebersetzungen!$B$2+1,FALSE)</f>
        <v>Daten &amp; Statistik</v>
      </c>
      <c r="B7" s="133"/>
      <c r="C7" s="133"/>
      <c r="D7" s="133"/>
      <c r="E7" s="95"/>
      <c r="F7" s="1"/>
    </row>
    <row r="8" spans="1:10" ht="10.5" customHeight="1" x14ac:dyDescent="0.2"/>
    <row r="9" spans="1:10" ht="18" x14ac:dyDescent="0.25">
      <c r="A9" s="2" t="str">
        <f>VLOOKUP("&lt;T9Titel1&gt;",Uebersetzungen!$B$4:$E$315,Uebersetzungen!$B$2+1,FALSE)</f>
        <v>Hotel- und Kurbetriebe: Logiernächte im September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VLOOKUP("&lt;T9SpaltenTitel_1&gt;",Uebersetzungen!$B$4:$E$315,Uebersetzungen!$B$2+1,FALSE)</f>
        <v>September 2025</v>
      </c>
      <c r="D12" s="21" t="str">
        <f>VLOOKUP("&lt;T9SpaltenTitel_2&gt;",Uebersetzungen!$B$4:$E$315,Uebersetzungen!$B$2+1,FALSE)</f>
        <v>September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VLOOKUP("&lt;T9SpaltenTitel_5&gt;",Uebersetzungen!$B$4:$E$315,Uebersetzungen!$B$2+1,FALSE)</f>
        <v>Januar-September 25</v>
      </c>
      <c r="H12" s="22" t="str">
        <f>VLOOKUP("&lt;T9SpaltenTitel_6&gt;",Uebersetzungen!$B$4:$E$315,Uebersetzungen!$B$2+1,FALSE)</f>
        <v>Januar-September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21867</v>
      </c>
      <c r="D13" s="52">
        <v>19921</v>
      </c>
      <c r="E13" s="53">
        <f t="shared" ref="E13:E31" si="0">C13/D13-1</f>
        <v>9.7685859143617382E-2</v>
      </c>
      <c r="F13" s="72">
        <v>-2.4212837355419015E-2</v>
      </c>
      <c r="G13" s="76">
        <v>343923</v>
      </c>
      <c r="H13" s="52">
        <v>355344</v>
      </c>
      <c r="I13" s="53">
        <f t="shared" ref="I13:I31" si="1">G13/H13-1</f>
        <v>-3.2140686208293912E-2</v>
      </c>
      <c r="J13" s="54">
        <v>5.3559776864896769E-2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5719</v>
      </c>
      <c r="D14" s="52">
        <v>5551</v>
      </c>
      <c r="E14" s="53">
        <f t="shared" si="0"/>
        <v>3.0264817150063017E-2</v>
      </c>
      <c r="F14" s="72">
        <v>-5.386626079475898E-2</v>
      </c>
      <c r="G14" s="76">
        <v>51417</v>
      </c>
      <c r="H14" s="52">
        <v>48823</v>
      </c>
      <c r="I14" s="53">
        <f t="shared" si="1"/>
        <v>5.3130696597915028E-2</v>
      </c>
      <c r="J14" s="54">
        <v>5.0509591740195425E-3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5582</v>
      </c>
      <c r="D15" s="52">
        <v>4973</v>
      </c>
      <c r="E15" s="53">
        <f t="shared" si="0"/>
        <v>0.12246129097124481</v>
      </c>
      <c r="F15" s="72">
        <v>-0.10559205255568016</v>
      </c>
      <c r="G15" s="76">
        <v>46060</v>
      </c>
      <c r="H15" s="52">
        <v>45939</v>
      </c>
      <c r="I15" s="53">
        <f t="shared" si="1"/>
        <v>2.6339275996429823E-3</v>
      </c>
      <c r="J15" s="54">
        <v>-3.2507414782513733E-2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6082</v>
      </c>
      <c r="D16" s="52">
        <v>6016</v>
      </c>
      <c r="E16" s="53">
        <f t="shared" si="0"/>
        <v>1.097074468085113E-2</v>
      </c>
      <c r="F16" s="72">
        <v>6.2729337759916071E-2</v>
      </c>
      <c r="G16" s="76">
        <v>44505</v>
      </c>
      <c r="H16" s="52">
        <v>45795</v>
      </c>
      <c r="I16" s="53">
        <f t="shared" si="1"/>
        <v>-2.8169014084507005E-2</v>
      </c>
      <c r="J16" s="54">
        <v>0.16946079461845698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26324</v>
      </c>
      <c r="D17" s="52">
        <v>23824</v>
      </c>
      <c r="E17" s="53">
        <f t="shared" si="0"/>
        <v>0.10493619879113503</v>
      </c>
      <c r="F17" s="72">
        <v>0.26852869176352678</v>
      </c>
      <c r="G17" s="76">
        <v>204148</v>
      </c>
      <c r="H17" s="52">
        <v>193051</v>
      </c>
      <c r="I17" s="53">
        <f t="shared" si="1"/>
        <v>5.7482219724321659E-2</v>
      </c>
      <c r="J17" s="54">
        <v>0.39234031408613412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78523</v>
      </c>
      <c r="D18" s="52">
        <v>74844</v>
      </c>
      <c r="E18" s="53">
        <f t="shared" si="0"/>
        <v>4.9155576933354705E-2</v>
      </c>
      <c r="F18" s="72">
        <v>3.834812160321599E-2</v>
      </c>
      <c r="G18" s="76">
        <v>790677</v>
      </c>
      <c r="H18" s="52">
        <v>786578</v>
      </c>
      <c r="I18" s="53">
        <f t="shared" si="1"/>
        <v>5.2111805822181445E-3</v>
      </c>
      <c r="J18" s="54">
        <v>7.0697908970561718E-2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10188</v>
      </c>
      <c r="D19" s="52">
        <v>7916</v>
      </c>
      <c r="E19" s="53">
        <f t="shared" si="0"/>
        <v>0.28701364325416878</v>
      </c>
      <c r="F19" s="72">
        <v>-1.5043118450056125E-2</v>
      </c>
      <c r="G19" s="76">
        <v>111718</v>
      </c>
      <c r="H19" s="52">
        <v>113491</v>
      </c>
      <c r="I19" s="53">
        <f t="shared" si="1"/>
        <v>-1.5622384153809565E-2</v>
      </c>
      <c r="J19" s="54">
        <v>-2.0417969496679622E-2</v>
      </c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>
        <v>47366</v>
      </c>
      <c r="D20" s="52">
        <v>45815</v>
      </c>
      <c r="E20" s="53">
        <f t="shared" si="0"/>
        <v>3.3853541416566602E-2</v>
      </c>
      <c r="F20" s="72">
        <v>-0.13509822038324026</v>
      </c>
      <c r="G20" s="76">
        <v>451374</v>
      </c>
      <c r="H20" s="52">
        <v>442407</v>
      </c>
      <c r="I20" s="53">
        <f t="shared" si="1"/>
        <v>2.0268666635021582E-2</v>
      </c>
      <c r="J20" s="54">
        <v>1.2055681067056234E-2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137709</v>
      </c>
      <c r="D21" s="52">
        <v>133708</v>
      </c>
      <c r="E21" s="53">
        <f t="shared" si="0"/>
        <v>2.9923415203278791E-2</v>
      </c>
      <c r="F21" s="72">
        <v>-4.5041683945405309E-2</v>
      </c>
      <c r="G21" s="76">
        <v>1426138</v>
      </c>
      <c r="H21" s="52">
        <v>1376348</v>
      </c>
      <c r="I21" s="53">
        <f t="shared" si="1"/>
        <v>3.6175444001081081E-2</v>
      </c>
      <c r="J21" s="54">
        <v>9.547988514090755E-2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31084</v>
      </c>
      <c r="D22" s="52">
        <v>28861</v>
      </c>
      <c r="E22" s="53">
        <f t="shared" si="0"/>
        <v>7.7024358130348913E-2</v>
      </c>
      <c r="F22" s="72">
        <v>-0.11235743290708367</v>
      </c>
      <c r="G22" s="76">
        <v>403701</v>
      </c>
      <c r="H22" s="52">
        <v>390492</v>
      </c>
      <c r="I22" s="53">
        <f t="shared" si="1"/>
        <v>3.3826557266217971E-2</v>
      </c>
      <c r="J22" s="54">
        <v>-3.8857946079992933E-2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25526</v>
      </c>
      <c r="D23" s="52">
        <v>25238</v>
      </c>
      <c r="E23" s="53">
        <f t="shared" si="0"/>
        <v>1.1411363816467235E-2</v>
      </c>
      <c r="F23" s="72">
        <v>-5.7747393910758116E-2</v>
      </c>
      <c r="G23" s="76">
        <v>265782</v>
      </c>
      <c r="H23" s="52">
        <v>265712</v>
      </c>
      <c r="I23" s="53">
        <f t="shared" si="1"/>
        <v>2.6344312639259293E-4</v>
      </c>
      <c r="J23" s="54">
        <v>-2.9538274085473271E-3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6449</v>
      </c>
      <c r="D24" s="52">
        <v>5830</v>
      </c>
      <c r="E24" s="53">
        <f t="shared" si="0"/>
        <v>0.10617495711835345</v>
      </c>
      <c r="F24" s="72">
        <v>6.3349162379633173E-2</v>
      </c>
      <c r="G24" s="76">
        <v>66076</v>
      </c>
      <c r="H24" s="52">
        <v>65895</v>
      </c>
      <c r="I24" s="53">
        <f t="shared" si="1"/>
        <v>2.7467941421959186E-3</v>
      </c>
      <c r="J24" s="54">
        <v>0.11609586033093033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2061</v>
      </c>
      <c r="D25" s="52">
        <v>1981</v>
      </c>
      <c r="E25" s="53">
        <f t="shared" si="0"/>
        <v>4.0383644623927406E-2</v>
      </c>
      <c r="F25" s="72">
        <v>1.307510813999202E-2</v>
      </c>
      <c r="G25" s="76">
        <v>25798</v>
      </c>
      <c r="H25" s="52">
        <v>20634</v>
      </c>
      <c r="I25" s="53">
        <f t="shared" si="1"/>
        <v>0.25026655035378509</v>
      </c>
      <c r="J25" s="54">
        <v>0.27774861071212764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8276</v>
      </c>
      <c r="D26" s="52">
        <v>7430</v>
      </c>
      <c r="E26" s="53">
        <f t="shared" si="0"/>
        <v>0.11386271870794085</v>
      </c>
      <c r="F26" s="72">
        <v>0.26362720249183136</v>
      </c>
      <c r="G26" s="76">
        <v>87163</v>
      </c>
      <c r="H26" s="52">
        <v>82169</v>
      </c>
      <c r="I26" s="53">
        <f t="shared" si="1"/>
        <v>6.0777178741374449E-2</v>
      </c>
      <c r="J26" s="54">
        <v>0.2834319875136202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9490</v>
      </c>
      <c r="D27" s="52">
        <v>7680</v>
      </c>
      <c r="E27" s="53">
        <f t="shared" si="0"/>
        <v>0.23567708333333326</v>
      </c>
      <c r="F27" s="72">
        <v>4.5476578680650359E-2</v>
      </c>
      <c r="G27" s="77">
        <v>89321</v>
      </c>
      <c r="H27" s="52">
        <v>83011</v>
      </c>
      <c r="I27" s="53">
        <f t="shared" si="1"/>
        <v>7.6014022238016565E-2</v>
      </c>
      <c r="J27" s="54">
        <v>1.4937549996363986E-2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9286</v>
      </c>
      <c r="D28" s="52">
        <v>8103</v>
      </c>
      <c r="E28" s="53">
        <f t="shared" si="0"/>
        <v>0.14599531037887203</v>
      </c>
      <c r="F28" s="72">
        <v>-9.0214366892659714E-2</v>
      </c>
      <c r="G28" s="76">
        <v>64872</v>
      </c>
      <c r="H28" s="52">
        <v>60300</v>
      </c>
      <c r="I28" s="53">
        <f t="shared" si="1"/>
        <v>7.5820895522388021E-2</v>
      </c>
      <c r="J28" s="54">
        <v>8.5073713155966679E-2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4510</v>
      </c>
      <c r="D29" s="55">
        <v>4683</v>
      </c>
      <c r="E29" s="53">
        <f t="shared" si="0"/>
        <v>-3.6942131112534748E-2</v>
      </c>
      <c r="F29" s="72">
        <v>-0.24725439797042426</v>
      </c>
      <c r="G29" s="77">
        <v>48828</v>
      </c>
      <c r="H29" s="55">
        <v>50039</v>
      </c>
      <c r="I29" s="53">
        <f t="shared" si="1"/>
        <v>-2.4201123123963275E-2</v>
      </c>
      <c r="J29" s="54">
        <v>-0.10369184680451138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9776</v>
      </c>
      <c r="D30" s="57">
        <v>8776</v>
      </c>
      <c r="E30" s="53">
        <f t="shared" si="0"/>
        <v>0.113947128532361</v>
      </c>
      <c r="F30" s="73">
        <v>1.0710888714279942E-2</v>
      </c>
      <c r="G30" s="78">
        <v>76520</v>
      </c>
      <c r="H30" s="57">
        <v>77240</v>
      </c>
      <c r="I30" s="53">
        <f t="shared" si="1"/>
        <v>-9.321595028482621E-3</v>
      </c>
      <c r="J30" s="58">
        <v>1.6072320129173479E-2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445818</v>
      </c>
      <c r="D31" s="19">
        <v>421150</v>
      </c>
      <c r="E31" s="12">
        <f t="shared" si="0"/>
        <v>5.857295500415538E-2</v>
      </c>
      <c r="F31" s="74">
        <v>-2.6195548989035977E-2</v>
      </c>
      <c r="G31" s="79">
        <v>4598021</v>
      </c>
      <c r="H31" s="19">
        <v>4503268</v>
      </c>
      <c r="I31" s="12">
        <f t="shared" si="1"/>
        <v>2.1040941822694004E-2</v>
      </c>
      <c r="J31" s="47">
        <v>6.3935128668228147E-2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VLOOKUP("&lt;T9Titel2&gt;",Uebersetzungen!$B$4:$E$315,Uebersetzungen!$B$2+1,FALSE)</f>
        <v>Hotel- und Kurbetriebe: Logiernächte im September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VLOOKUP("&lt;T9SpaltenTitel_1&gt;",Uebersetzungen!$B$4:$E$315,Uebersetzungen!$B$2+1,FALSE)</f>
        <v>September 2025</v>
      </c>
      <c r="D39" s="21" t="str">
        <f>VLOOKUP("&lt;T9SpaltenTitel_2&gt;",Uebersetzungen!$B$4:$E$315,Uebersetzungen!$B$2+1,FALSE)</f>
        <v>September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VLOOKUP("&lt;T9SpaltenTitel_5&gt;",Uebersetzungen!$B$4:$E$315,Uebersetzungen!$B$2+1,FALSE)</f>
        <v>Januar-September 25</v>
      </c>
      <c r="H39" s="22" t="str">
        <f>VLOOKUP("&lt;T9SpaltenTitel_6&gt;",Uebersetzungen!$B$4:$E$315,Uebersetzungen!$B$2+1,FALSE)</f>
        <v>Januar-September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290757</v>
      </c>
      <c r="D40" s="17">
        <v>275886</v>
      </c>
      <c r="E40" s="10">
        <f>C40/D40-1</f>
        <v>5.3902698940866856E-2</v>
      </c>
      <c r="F40" s="80">
        <v>-0.12759464957603472</v>
      </c>
      <c r="G40" s="83">
        <v>2841512</v>
      </c>
      <c r="H40" s="17">
        <v>2816485</v>
      </c>
      <c r="I40" s="10">
        <f>G40/H40-1</f>
        <v>8.8858985579542971E-3</v>
      </c>
      <c r="J40" s="44">
        <v>-4.1280275964358681E-2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59353</v>
      </c>
      <c r="D41" s="17">
        <v>55362</v>
      </c>
      <c r="E41" s="10">
        <f t="shared" ref="E41:E74" si="2">C41/D41-1</f>
        <v>7.2089158628662275E-2</v>
      </c>
      <c r="F41" s="80">
        <v>1.2417910447761304E-2</v>
      </c>
      <c r="G41" s="83">
        <v>634302</v>
      </c>
      <c r="H41" s="17">
        <v>648533</v>
      </c>
      <c r="I41" s="10">
        <f t="shared" ref="I41:I74" si="3">G41/H41-1</f>
        <v>-2.1943370653459415E-2</v>
      </c>
      <c r="J41" s="44">
        <v>0.12453608379017278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18228</v>
      </c>
      <c r="D42" s="17">
        <v>16144</v>
      </c>
      <c r="E42" s="10">
        <f t="shared" si="2"/>
        <v>0.12908820614469763</v>
      </c>
      <c r="F42" s="80">
        <v>0.89220612049993764</v>
      </c>
      <c r="G42" s="83">
        <v>146777</v>
      </c>
      <c r="H42" s="17">
        <v>126176</v>
      </c>
      <c r="I42" s="10">
        <f t="shared" si="3"/>
        <v>0.16327193761095615</v>
      </c>
      <c r="J42" s="44">
        <v>0.95188929404474099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15023</v>
      </c>
      <c r="D43" s="17">
        <v>11555</v>
      </c>
      <c r="E43" s="10">
        <f t="shared" si="2"/>
        <v>0.30012981393336213</v>
      </c>
      <c r="F43" s="80">
        <v>0.98333905420748291</v>
      </c>
      <c r="G43" s="83">
        <v>153560</v>
      </c>
      <c r="H43" s="17">
        <v>136987</v>
      </c>
      <c r="I43" s="10">
        <f t="shared" si="3"/>
        <v>0.12098228299035685</v>
      </c>
      <c r="J43" s="44">
        <v>0.58650786435130464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5241</v>
      </c>
      <c r="D44" s="17">
        <v>7979</v>
      </c>
      <c r="E44" s="10">
        <f t="shared" si="2"/>
        <v>-0.34315077077327982</v>
      </c>
      <c r="F44" s="80">
        <v>-0.45380077954019638</v>
      </c>
      <c r="G44" s="83">
        <v>79581</v>
      </c>
      <c r="H44" s="17">
        <v>94341</v>
      </c>
      <c r="I44" s="10">
        <f t="shared" si="3"/>
        <v>-0.15645371577574962</v>
      </c>
      <c r="J44" s="44">
        <v>-0.29226103660488778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8082</v>
      </c>
      <c r="D45" s="17">
        <v>9060</v>
      </c>
      <c r="E45" s="10">
        <f t="shared" si="2"/>
        <v>-0.10794701986754962</v>
      </c>
      <c r="F45" s="80">
        <v>9.0364534146407216E-2</v>
      </c>
      <c r="G45" s="83">
        <v>93765</v>
      </c>
      <c r="H45" s="17">
        <v>88682</v>
      </c>
      <c r="I45" s="10">
        <f t="shared" si="3"/>
        <v>5.7317155679844856E-2</v>
      </c>
      <c r="J45" s="44">
        <v>0.30030148300795179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5024</v>
      </c>
      <c r="D46" s="17">
        <v>5623</v>
      </c>
      <c r="E46" s="10">
        <f t="shared" si="2"/>
        <v>-0.10652676507202563</v>
      </c>
      <c r="F46" s="80">
        <v>0.13444429390778123</v>
      </c>
      <c r="G46" s="83">
        <v>41874</v>
      </c>
      <c r="H46" s="17">
        <v>41515</v>
      </c>
      <c r="I46" s="10">
        <f t="shared" si="3"/>
        <v>8.6474768156088455E-3</v>
      </c>
      <c r="J46" s="44">
        <v>0.2180109950842084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4888</v>
      </c>
      <c r="D47" s="17">
        <v>4241</v>
      </c>
      <c r="E47" s="10">
        <f t="shared" si="2"/>
        <v>0.15255835887762315</v>
      </c>
      <c r="F47" s="80">
        <v>0.18975756985687875</v>
      </c>
      <c r="G47" s="83">
        <v>84948</v>
      </c>
      <c r="H47" s="17">
        <v>82183</v>
      </c>
      <c r="I47" s="10">
        <f t="shared" si="3"/>
        <v>3.3644427679690336E-2</v>
      </c>
      <c r="J47" s="44">
        <v>0.27023907075226239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3959</v>
      </c>
      <c r="D48" s="17">
        <v>3848</v>
      </c>
      <c r="E48" s="10">
        <f t="shared" si="2"/>
        <v>2.8846153846153744E-2</v>
      </c>
      <c r="F48" s="80">
        <v>0.17701272446188621</v>
      </c>
      <c r="G48" s="83">
        <v>57670</v>
      </c>
      <c r="H48" s="17">
        <v>54003</v>
      </c>
      <c r="I48" s="10">
        <f t="shared" si="3"/>
        <v>6.790363498324159E-2</v>
      </c>
      <c r="J48" s="44">
        <v>0.31838839763343918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2936</v>
      </c>
      <c r="D49" s="17">
        <v>2897</v>
      </c>
      <c r="E49" s="10">
        <f t="shared" si="2"/>
        <v>1.3462202278218927E-2</v>
      </c>
      <c r="F49" s="80">
        <v>1.1493411420204978</v>
      </c>
      <c r="G49" s="83">
        <v>22475</v>
      </c>
      <c r="H49" s="17">
        <v>21326</v>
      </c>
      <c r="I49" s="10">
        <f t="shared" si="3"/>
        <v>5.3877895526587283E-2</v>
      </c>
      <c r="J49" s="44">
        <v>0.99426786633303177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2832</v>
      </c>
      <c r="D50" s="17">
        <v>2701</v>
      </c>
      <c r="E50" s="10">
        <f t="shared" si="2"/>
        <v>4.8500555349870522E-2</v>
      </c>
      <c r="F50" s="80">
        <v>1.5048646736246245</v>
      </c>
      <c r="G50" s="83">
        <v>15099</v>
      </c>
      <c r="H50" s="17">
        <v>15426</v>
      </c>
      <c r="I50" s="10">
        <f t="shared" si="3"/>
        <v>-2.1197977440684523E-2</v>
      </c>
      <c r="J50" s="44">
        <v>1.7347315800912853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3254</v>
      </c>
      <c r="D51" s="17">
        <v>1877</v>
      </c>
      <c r="E51" s="10">
        <f t="shared" si="2"/>
        <v>0.73361747469366012</v>
      </c>
      <c r="F51" s="80">
        <v>2.8147713950762014</v>
      </c>
      <c r="G51" s="83">
        <v>36086</v>
      </c>
      <c r="H51" s="17">
        <v>33976</v>
      </c>
      <c r="I51" s="10">
        <f t="shared" si="3"/>
        <v>6.2102660701671697E-2</v>
      </c>
      <c r="J51" s="44">
        <v>1.0187520279266482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1907</v>
      </c>
      <c r="D52" s="17">
        <v>1827</v>
      </c>
      <c r="E52" s="10">
        <f t="shared" si="2"/>
        <v>4.3787629994526567E-2</v>
      </c>
      <c r="F52" s="80">
        <v>1.030019161166702</v>
      </c>
      <c r="G52" s="83">
        <v>15683</v>
      </c>
      <c r="H52" s="17">
        <v>12382</v>
      </c>
      <c r="I52" s="10">
        <f t="shared" si="3"/>
        <v>0.26659667258924236</v>
      </c>
      <c r="J52" s="44">
        <v>1.0499581721217188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2447</v>
      </c>
      <c r="D53" s="17">
        <v>1810</v>
      </c>
      <c r="E53" s="10">
        <f t="shared" si="2"/>
        <v>0.35193370165745863</v>
      </c>
      <c r="F53" s="80">
        <v>1.7050630112757017</v>
      </c>
      <c r="G53" s="83">
        <v>19766</v>
      </c>
      <c r="H53" s="17">
        <v>15501</v>
      </c>
      <c r="I53" s="10">
        <f t="shared" si="3"/>
        <v>0.27514353912650802</v>
      </c>
      <c r="J53" s="44">
        <v>1.7521581732108049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1528</v>
      </c>
      <c r="D54" s="17">
        <v>1323</v>
      </c>
      <c r="E54" s="10">
        <f t="shared" si="2"/>
        <v>0.15495086923658352</v>
      </c>
      <c r="F54" s="80">
        <v>1.2490432734765973</v>
      </c>
      <c r="G54" s="83">
        <v>13937</v>
      </c>
      <c r="H54" s="17">
        <v>12918</v>
      </c>
      <c r="I54" s="10">
        <f t="shared" si="3"/>
        <v>7.8882179904009808E-2</v>
      </c>
      <c r="J54" s="44">
        <v>1.358924884059443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2584</v>
      </c>
      <c r="D55" s="17">
        <v>1277</v>
      </c>
      <c r="E55" s="10">
        <f t="shared" si="2"/>
        <v>1.0234925606891152</v>
      </c>
      <c r="F55" s="80">
        <v>1.3444021048811465</v>
      </c>
      <c r="G55" s="83">
        <v>30127</v>
      </c>
      <c r="H55" s="17">
        <v>26310</v>
      </c>
      <c r="I55" s="10">
        <f t="shared" si="3"/>
        <v>0.1450779171417711</v>
      </c>
      <c r="J55" s="44">
        <v>-0.17202581184178711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1217</v>
      </c>
      <c r="D56" s="17">
        <v>1231</v>
      </c>
      <c r="E56" s="10">
        <f t="shared" si="2"/>
        <v>-1.1372867587327362E-2</v>
      </c>
      <c r="F56" s="80">
        <v>0.94782330345710641</v>
      </c>
      <c r="G56" s="83">
        <v>29245</v>
      </c>
      <c r="H56" s="17">
        <v>23754</v>
      </c>
      <c r="I56" s="10">
        <f t="shared" si="3"/>
        <v>0.23116106760966582</v>
      </c>
      <c r="J56" s="44">
        <v>1.0318058025789241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1134</v>
      </c>
      <c r="D57" s="17">
        <v>1120</v>
      </c>
      <c r="E57" s="10">
        <f t="shared" si="2"/>
        <v>1.2499999999999956E-2</v>
      </c>
      <c r="F57" s="80">
        <v>0.96806664352655303</v>
      </c>
      <c r="G57" s="83">
        <v>14694</v>
      </c>
      <c r="H57" s="17">
        <v>11151</v>
      </c>
      <c r="I57" s="10">
        <f t="shared" si="3"/>
        <v>0.3177293516276567</v>
      </c>
      <c r="J57" s="44">
        <v>1.462626533485285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1089</v>
      </c>
      <c r="D58" s="17">
        <v>729</v>
      </c>
      <c r="E58" s="10">
        <f t="shared" si="2"/>
        <v>0.49382716049382713</v>
      </c>
      <c r="F58" s="80">
        <v>0.41428571428571437</v>
      </c>
      <c r="G58" s="83">
        <v>19965</v>
      </c>
      <c r="H58" s="17">
        <v>19233</v>
      </c>
      <c r="I58" s="10">
        <f t="shared" si="3"/>
        <v>3.8059585088129788E-2</v>
      </c>
      <c r="J58" s="44">
        <v>0.29368998094941889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833</v>
      </c>
      <c r="D59" s="17">
        <v>834</v>
      </c>
      <c r="E59" s="10">
        <f t="shared" si="2"/>
        <v>-1.1990407673860837E-3</v>
      </c>
      <c r="F59" s="80">
        <v>4.1510377594398573E-2</v>
      </c>
      <c r="G59" s="83">
        <v>14745</v>
      </c>
      <c r="H59" s="17">
        <v>14118</v>
      </c>
      <c r="I59" s="10">
        <f t="shared" si="3"/>
        <v>4.4411389715257155E-2</v>
      </c>
      <c r="J59" s="44">
        <v>0.28510170998274353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1192</v>
      </c>
      <c r="D60" s="17">
        <v>1011</v>
      </c>
      <c r="E60" s="10">
        <f t="shared" si="2"/>
        <v>0.17903066271018786</v>
      </c>
      <c r="F60" s="80">
        <v>0.45047456802141639</v>
      </c>
      <c r="G60" s="83">
        <v>13815</v>
      </c>
      <c r="H60" s="17">
        <v>13218</v>
      </c>
      <c r="I60" s="10">
        <f t="shared" si="3"/>
        <v>4.5165683159328118E-2</v>
      </c>
      <c r="J60" s="44">
        <v>0.31621570121951215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971</v>
      </c>
      <c r="D61" s="17">
        <v>953</v>
      </c>
      <c r="E61" s="10">
        <f t="shared" si="2"/>
        <v>1.8887722980063026E-2</v>
      </c>
      <c r="F61" s="80">
        <v>0.35161469933184852</v>
      </c>
      <c r="G61" s="83">
        <v>14957</v>
      </c>
      <c r="H61" s="17">
        <v>13234</v>
      </c>
      <c r="I61" s="10">
        <f t="shared" si="3"/>
        <v>0.1301949523953454</v>
      </c>
      <c r="J61" s="44">
        <v>0.69032389304522734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708</v>
      </c>
      <c r="D62" s="17">
        <v>709</v>
      </c>
      <c r="E62" s="10">
        <f t="shared" si="2"/>
        <v>-1.4104372355430161E-3</v>
      </c>
      <c r="F62" s="80">
        <v>0.16600790513833985</v>
      </c>
      <c r="G62" s="83">
        <v>12309</v>
      </c>
      <c r="H62" s="17">
        <v>12696</v>
      </c>
      <c r="I62" s="10">
        <f t="shared" si="3"/>
        <v>-3.0482041587901687E-2</v>
      </c>
      <c r="J62" s="44">
        <v>5.2807143590269945E-2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499</v>
      </c>
      <c r="D63" s="17">
        <v>587</v>
      </c>
      <c r="E63" s="10">
        <f t="shared" si="2"/>
        <v>-0.14991482112436116</v>
      </c>
      <c r="F63" s="80">
        <v>0.63285340314136107</v>
      </c>
      <c r="G63" s="83">
        <v>12883</v>
      </c>
      <c r="H63" s="17">
        <v>10908</v>
      </c>
      <c r="I63" s="10">
        <f t="shared" si="3"/>
        <v>0.18105977264393114</v>
      </c>
      <c r="J63" s="44">
        <v>0.76397294410822347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656</v>
      </c>
      <c r="D66" s="17">
        <v>825</v>
      </c>
      <c r="E66" s="10">
        <f t="shared" si="2"/>
        <v>-0.20484848484848484</v>
      </c>
      <c r="F66" s="80">
        <v>0.52204176334106722</v>
      </c>
      <c r="G66" s="83">
        <v>14344</v>
      </c>
      <c r="H66" s="17">
        <v>14030</v>
      </c>
      <c r="I66" s="10">
        <f t="shared" si="3"/>
        <v>2.2380612972202396E-2</v>
      </c>
      <c r="J66" s="44">
        <v>0.9926096741032977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2912</v>
      </c>
      <c r="D67" s="17">
        <v>2636</v>
      </c>
      <c r="E67" s="10">
        <f t="shared" si="2"/>
        <v>0.10470409711684381</v>
      </c>
      <c r="F67" s="80">
        <v>0.15583075335397312</v>
      </c>
      <c r="G67" s="83">
        <v>43981</v>
      </c>
      <c r="H67" s="17">
        <v>37396</v>
      </c>
      <c r="I67" s="10">
        <f t="shared" si="3"/>
        <v>0.17608835169536841</v>
      </c>
      <c r="J67" s="44">
        <v>0.48077195014376395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2481</v>
      </c>
      <c r="D68" s="17">
        <v>3110</v>
      </c>
      <c r="E68" s="10">
        <f t="shared" si="2"/>
        <v>-0.2022508038585209</v>
      </c>
      <c r="F68" s="80">
        <v>0.29191835034367841</v>
      </c>
      <c r="G68" s="83">
        <v>27752</v>
      </c>
      <c r="H68" s="17">
        <v>30871</v>
      </c>
      <c r="I68" s="10">
        <f t="shared" si="3"/>
        <v>-0.10103333225357136</v>
      </c>
      <c r="J68" s="44">
        <v>0.42890978179159478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1384</v>
      </c>
      <c r="D69" s="17">
        <v>1548</v>
      </c>
      <c r="E69" s="10">
        <f t="shared" si="2"/>
        <v>-0.10594315245478036</v>
      </c>
      <c r="F69" s="80">
        <v>9.7889893701412101E-2</v>
      </c>
      <c r="G69" s="83">
        <v>41942</v>
      </c>
      <c r="H69" s="17">
        <v>35505</v>
      </c>
      <c r="I69" s="10">
        <f t="shared" si="3"/>
        <v>0.1812984086748346</v>
      </c>
      <c r="J69" s="44">
        <v>0.24456973293768547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1599</v>
      </c>
      <c r="D70" s="17">
        <v>1331</v>
      </c>
      <c r="E70" s="10">
        <f t="shared" si="2"/>
        <v>0.20135236664162282</v>
      </c>
      <c r="F70" s="80">
        <v>1.4577313249308328</v>
      </c>
      <c r="G70" s="83">
        <v>18806</v>
      </c>
      <c r="H70" s="17">
        <v>13745</v>
      </c>
      <c r="I70" s="10">
        <f t="shared" si="3"/>
        <v>0.36820662058930531</v>
      </c>
      <c r="J70" s="44">
        <v>1.6060807627283054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378</v>
      </c>
      <c r="D71" s="17">
        <v>422</v>
      </c>
      <c r="E71" s="10">
        <f t="shared" si="2"/>
        <v>-0.10426540284360186</v>
      </c>
      <c r="F71" s="80">
        <v>0.24834874504623516</v>
      </c>
      <c r="G71" s="83">
        <v>5670</v>
      </c>
      <c r="H71" s="17">
        <v>6515</v>
      </c>
      <c r="I71" s="10">
        <f t="shared" si="3"/>
        <v>-0.12970069071373758</v>
      </c>
      <c r="J71" s="44">
        <v>0.36127917026793432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722</v>
      </c>
      <c r="D72" s="17">
        <v>694</v>
      </c>
      <c r="E72" s="10">
        <f t="shared" si="2"/>
        <v>4.0345821325648457E-2</v>
      </c>
      <c r="F72" s="80">
        <v>0.43310837633981736</v>
      </c>
      <c r="G72" s="83">
        <v>25751</v>
      </c>
      <c r="H72" s="17">
        <v>20150</v>
      </c>
      <c r="I72" s="10">
        <f t="shared" si="3"/>
        <v>0.27796526054590576</v>
      </c>
      <c r="J72" s="44">
        <v>0.91443015389190418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42</v>
      </c>
      <c r="F73" s="81" t="s">
        <v>42</v>
      </c>
      <c r="G73" s="84">
        <v>0</v>
      </c>
      <c r="H73" s="18">
        <v>0</v>
      </c>
      <c r="I73" s="11" t="s">
        <v>42</v>
      </c>
      <c r="J73" s="46" t="s">
        <v>42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445818</v>
      </c>
      <c r="D74" s="40">
        <v>421150</v>
      </c>
      <c r="E74" s="65">
        <f t="shared" si="2"/>
        <v>5.857295500415538E-2</v>
      </c>
      <c r="F74" s="82">
        <v>-2.6195548989035977E-2</v>
      </c>
      <c r="G74" s="79">
        <v>4598021</v>
      </c>
      <c r="H74" s="40">
        <v>4503268</v>
      </c>
      <c r="I74" s="65">
        <f t="shared" si="3"/>
        <v>2.1040941822694004E-2</v>
      </c>
      <c r="J74" s="66">
        <v>6.3935128668228147E-2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VLOOKUP("&lt;T9Titel3&gt;",Uebersetzungen!$B$4:$E$315,Uebersetzungen!$B$2+1,FALSE)</f>
        <v>Hotel- und Kurbetriebe: Logiernächte im September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VLOOKUP("&lt;T9SpaltenTitel_1&gt;",Uebersetzungen!$B$4:$E$315,Uebersetzungen!$B$2+1,FALSE)</f>
        <v>September 2025</v>
      </c>
      <c r="D82" s="21" t="str">
        <f>VLOOKUP("&lt;T9SpaltenTitel_2&gt;",Uebersetzungen!$B$4:$E$315,Uebersetzungen!$B$2+1,FALSE)</f>
        <v>September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VLOOKUP("&lt;T9SpaltenTitel_5&gt;",Uebersetzungen!$B$4:$E$315,Uebersetzungen!$B$2+1,FALSE)</f>
        <v>Januar-September 25</v>
      </c>
      <c r="H82" s="22" t="str">
        <f>VLOOKUP("&lt;T9SpaltenTitel_6&gt;",Uebersetzungen!$B$4:$E$315,Uebersetzungen!$B$2+1,FALSE)</f>
        <v>Januar-September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118133</v>
      </c>
      <c r="D83" s="17">
        <v>119584</v>
      </c>
      <c r="E83" s="10">
        <f>C83/D83-1</f>
        <v>-1.2133730264918374E-2</v>
      </c>
      <c r="F83" s="80">
        <v>0.16723216985252121</v>
      </c>
      <c r="G83" s="83">
        <v>972296</v>
      </c>
      <c r="H83" s="17">
        <v>933035</v>
      </c>
      <c r="I83" s="10">
        <f>G83/H83-1</f>
        <v>4.2078807333058244E-2</v>
      </c>
      <c r="J83" s="44">
        <v>0.31982096079234656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177696</v>
      </c>
      <c r="D84" s="17">
        <v>161710</v>
      </c>
      <c r="E84" s="10">
        <f t="shared" ref="E84:E96" si="4">C84/D84-1</f>
        <v>9.885597674850044E-2</v>
      </c>
      <c r="F84" s="80">
        <v>0.29595946188393141</v>
      </c>
      <c r="G84" s="83">
        <v>1433398</v>
      </c>
      <c r="H84" s="17">
        <v>1319111</v>
      </c>
      <c r="I84" s="10">
        <f t="shared" ref="I84:I96" si="5">G84/H84-1</f>
        <v>8.6639410936607986E-2</v>
      </c>
      <c r="J84" s="44">
        <v>0.450317989796158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609451</v>
      </c>
      <c r="D85" s="17">
        <v>617056</v>
      </c>
      <c r="E85" s="10">
        <f t="shared" si="4"/>
        <v>-1.2324651247212604E-2</v>
      </c>
      <c r="F85" s="80">
        <v>0.16413903707359867</v>
      </c>
      <c r="G85" s="83">
        <v>4908141</v>
      </c>
      <c r="H85" s="17">
        <v>4998106</v>
      </c>
      <c r="I85" s="10">
        <f t="shared" si="5"/>
        <v>-1.7999818331183803E-2</v>
      </c>
      <c r="J85" s="44">
        <v>0.23817298747422688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51896</v>
      </c>
      <c r="D86" s="17">
        <v>47102</v>
      </c>
      <c r="E86" s="10">
        <f t="shared" si="4"/>
        <v>0.10177911765954728</v>
      </c>
      <c r="F86" s="80">
        <v>0.11447076812067292</v>
      </c>
      <c r="G86" s="83">
        <v>398893</v>
      </c>
      <c r="H86" s="17">
        <v>376870</v>
      </c>
      <c r="I86" s="10">
        <f t="shared" si="5"/>
        <v>5.8436596173746969E-2</v>
      </c>
      <c r="J86" s="44">
        <v>0.18625937217853283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333530</v>
      </c>
      <c r="D87" s="17">
        <v>338218</v>
      </c>
      <c r="E87" s="10">
        <f t="shared" si="4"/>
        <v>-1.3860882625998605E-2</v>
      </c>
      <c r="F87" s="80">
        <v>0.37180400473157849</v>
      </c>
      <c r="G87" s="83">
        <v>2882793</v>
      </c>
      <c r="H87" s="17">
        <v>2876953</v>
      </c>
      <c r="I87" s="10">
        <f t="shared" si="5"/>
        <v>2.0299254106688203E-3</v>
      </c>
      <c r="J87" s="44">
        <v>0.49602023814948049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445818</v>
      </c>
      <c r="D88" s="62">
        <v>421150</v>
      </c>
      <c r="E88" s="63">
        <f t="shared" si="4"/>
        <v>5.857295500415538E-2</v>
      </c>
      <c r="F88" s="85">
        <v>-2.6195548989035977E-2</v>
      </c>
      <c r="G88" s="87">
        <v>4598021</v>
      </c>
      <c r="H88" s="62">
        <v>4503268</v>
      </c>
      <c r="I88" s="63">
        <f t="shared" si="5"/>
        <v>2.1040941822694004E-2</v>
      </c>
      <c r="J88" s="64">
        <v>6.3935128668228147E-2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65739</v>
      </c>
      <c r="D89" s="17">
        <v>63887</v>
      </c>
      <c r="E89" s="10">
        <f t="shared" si="4"/>
        <v>2.8988683143675642E-2</v>
      </c>
      <c r="F89" s="80">
        <v>5.0704369423941964E-2</v>
      </c>
      <c r="G89" s="83">
        <v>487961</v>
      </c>
      <c r="H89" s="17">
        <v>485287</v>
      </c>
      <c r="I89" s="10">
        <f t="shared" si="5"/>
        <v>5.5101414214682176E-3</v>
      </c>
      <c r="J89" s="44">
        <v>0.10562258550567027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416059</v>
      </c>
      <c r="D90" s="17">
        <v>401297</v>
      </c>
      <c r="E90" s="10">
        <f t="shared" si="4"/>
        <v>3.6785722295457068E-2</v>
      </c>
      <c r="F90" s="80">
        <v>0.19581031389593218</v>
      </c>
      <c r="G90" s="83">
        <v>3301532</v>
      </c>
      <c r="H90" s="17">
        <v>3221216</v>
      </c>
      <c r="I90" s="10">
        <f t="shared" si="5"/>
        <v>2.4933441284285207E-2</v>
      </c>
      <c r="J90" s="44">
        <v>0.28084919536758801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209582</v>
      </c>
      <c r="D91" s="17">
        <v>208315</v>
      </c>
      <c r="E91" s="10">
        <f t="shared" si="4"/>
        <v>6.0821352279001317E-3</v>
      </c>
      <c r="F91" s="80">
        <v>3.0572902109280431E-3</v>
      </c>
      <c r="G91" s="83">
        <v>1600095</v>
      </c>
      <c r="H91" s="17">
        <v>1602616</v>
      </c>
      <c r="I91" s="10">
        <f t="shared" si="5"/>
        <v>-1.5730530582497293E-3</v>
      </c>
      <c r="J91" s="44">
        <v>8.8325423717746432E-2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288508</v>
      </c>
      <c r="D92" s="17">
        <v>291455</v>
      </c>
      <c r="E92" s="10">
        <f t="shared" si="4"/>
        <v>-1.0111337942392495E-2</v>
      </c>
      <c r="F92" s="80">
        <v>-5.4587303574249124E-2</v>
      </c>
      <c r="G92" s="83">
        <v>2044261</v>
      </c>
      <c r="H92" s="17">
        <v>1994223</v>
      </c>
      <c r="I92" s="10">
        <f t="shared" si="5"/>
        <v>2.5091476730536133E-2</v>
      </c>
      <c r="J92" s="44">
        <v>5.8576346016510072E-3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298170</v>
      </c>
      <c r="D93" s="17">
        <v>281454</v>
      </c>
      <c r="E93" s="10">
        <f t="shared" si="4"/>
        <v>5.939158796819366E-2</v>
      </c>
      <c r="F93" s="80">
        <v>0.20584005603554956</v>
      </c>
      <c r="G93" s="83">
        <v>2400654</v>
      </c>
      <c r="H93" s="17">
        <v>2292118</v>
      </c>
      <c r="I93" s="10">
        <f t="shared" si="5"/>
        <v>4.7351837907123384E-2</v>
      </c>
      <c r="J93" s="44">
        <v>0.26725317466015164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394145</v>
      </c>
      <c r="D94" s="17">
        <v>384379</v>
      </c>
      <c r="E94" s="33">
        <f t="shared" si="4"/>
        <v>2.5407215274507733E-2</v>
      </c>
      <c r="F94" s="80">
        <v>8.0410536541721367E-2</v>
      </c>
      <c r="G94" s="83">
        <v>3701392</v>
      </c>
      <c r="H94" s="17">
        <v>3642576</v>
      </c>
      <c r="I94" s="33">
        <f t="shared" si="5"/>
        <v>1.614681478162705E-2</v>
      </c>
      <c r="J94" s="44">
        <v>0.14105848925428499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707562</v>
      </c>
      <c r="D95" s="18">
        <v>697531</v>
      </c>
      <c r="E95" s="43">
        <f t="shared" si="4"/>
        <v>1.4380722863930107E-2</v>
      </c>
      <c r="F95" s="11">
        <v>0.33857466303035078</v>
      </c>
      <c r="G95" s="84">
        <v>5674236</v>
      </c>
      <c r="H95" s="18">
        <v>5518712</v>
      </c>
      <c r="I95" s="43">
        <f t="shared" si="5"/>
        <v>2.8181213297595598E-2</v>
      </c>
      <c r="J95" s="48">
        <v>0.49167078212927584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4116289</v>
      </c>
      <c r="D96" s="40">
        <v>4033138</v>
      </c>
      <c r="E96" s="41">
        <f t="shared" si="4"/>
        <v>2.0616948886946096E-2</v>
      </c>
      <c r="F96" s="86">
        <v>0.15152714341616114</v>
      </c>
      <c r="G96" s="79">
        <v>34403673</v>
      </c>
      <c r="H96" s="40">
        <v>33764091</v>
      </c>
      <c r="I96" s="41">
        <f t="shared" si="5"/>
        <v>1.8942669002995016E-2</v>
      </c>
      <c r="J96" s="45">
        <v>0.24032255124530533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VLOOKUP("&lt;T9Aktualisierung&gt;",Uebersetzungen!$B$4:$E$315,Uebersetzungen!$B$2+1,FALSE)</f>
        <v>Letztmals aktualisiert am: 04.11.2025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VLOOKUP("&lt;T9Legende_3&gt;",Uebersetzungen!$B$4:$E$315,Uebersetzungen!$B$2+1,FALSE)</f>
        <v>Daten des Oktober 2025 erscheinen am 8. Dezember 2025.</v>
      </c>
    </row>
    <row r="103" spans="1:6" x14ac:dyDescent="0.2">
      <c r="A103" s="4" t="s">
        <v>47</v>
      </c>
    </row>
  </sheetData>
  <sheetProtection sheet="1" objects="1" scenarios="1"/>
  <mergeCells count="1">
    <mergeCell ref="A7:D7"/>
  </mergeCells>
  <hyperlinks>
    <hyperlink ref="E33" r:id="rId1" xr:uid="{00000000-0004-0000-0300-000000000000}"/>
    <hyperlink ref="E76" location="Länder_Pajais_Paesi!A1" display="Länder / Pajais / Paese" xr:uid="{00000000-0004-0000-03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9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3" t="str">
        <f>VLOOKUP("&lt;Fachbereich&gt;",Uebersetzungen!$B$4:$E$315,Uebersetzungen!$B$2+1,FALSE)</f>
        <v>Daten &amp; Statistik</v>
      </c>
      <c r="B7" s="133"/>
      <c r="C7" s="133"/>
      <c r="D7" s="133"/>
      <c r="E7" s="95"/>
      <c r="F7" s="1"/>
    </row>
    <row r="8" spans="1:10" ht="10.5" customHeight="1" x14ac:dyDescent="0.2"/>
    <row r="9" spans="1:10" ht="18" x14ac:dyDescent="0.25">
      <c r="A9" s="2" t="str">
        <f>VLOOKUP("&lt;T8Titel1&gt;",Uebersetzungen!$B$4:$E$315,Uebersetzungen!$B$2+1,FALSE)</f>
        <v>Hotel- und Kurbetriebe: Logiernächte im August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VLOOKUP("&lt;T8SpaltenTitel_1&gt;",Uebersetzungen!$B$4:$E$315,Uebersetzungen!$B$2+1,FALSE)</f>
        <v>August 2025</v>
      </c>
      <c r="D12" s="21" t="str">
        <f>VLOOKUP("&lt;T8SpaltenTitel_2&gt;",Uebersetzungen!$B$4:$E$315,Uebersetzungen!$B$2+1,FALSE)</f>
        <v>August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VLOOKUP("&lt;T8SpaltenTitel_5&gt;",Uebersetzungen!$B$4:$E$315,Uebersetzungen!$B$2+1,FALSE)</f>
        <v>Januar-August 25</v>
      </c>
      <c r="H12" s="22" t="str">
        <f>VLOOKUP("&lt;T8SpaltenTitel_6&gt;",Uebersetzungen!$B$4:$E$315,Uebersetzungen!$B$2+1,FALSE)</f>
        <v>Januar-August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38840</v>
      </c>
      <c r="D13" s="52">
        <v>44621</v>
      </c>
      <c r="E13" s="53">
        <f t="shared" ref="E13:E31" si="0">C13/D13-1</f>
        <v>-0.12955783151430944</v>
      </c>
      <c r="F13" s="72">
        <v>-9.4419159889576942E-2</v>
      </c>
      <c r="G13" s="76">
        <v>322056</v>
      </c>
      <c r="H13" s="52">
        <v>335423</v>
      </c>
      <c r="I13" s="53">
        <f t="shared" ref="I13:I31" si="1">G13/H13-1</f>
        <v>-3.9851172996484996E-2</v>
      </c>
      <c r="J13" s="54">
        <v>5.9292292127011592E-2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7551</v>
      </c>
      <c r="D14" s="52">
        <v>7642</v>
      </c>
      <c r="E14" s="53">
        <f t="shared" si="0"/>
        <v>-1.1907877518974042E-2</v>
      </c>
      <c r="F14" s="72">
        <v>-6.240687394457145E-2</v>
      </c>
      <c r="G14" s="76">
        <v>45698</v>
      </c>
      <c r="H14" s="52">
        <v>43272</v>
      </c>
      <c r="I14" s="53">
        <f t="shared" si="1"/>
        <v>5.6063967461638109E-2</v>
      </c>
      <c r="J14" s="54">
        <v>1.2944983818770073E-2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10245</v>
      </c>
      <c r="D15" s="52">
        <v>10753</v>
      </c>
      <c r="E15" s="53">
        <f t="shared" si="0"/>
        <v>-4.7242629963731075E-2</v>
      </c>
      <c r="F15" s="72">
        <v>-6.1503240076054011E-3</v>
      </c>
      <c r="G15" s="76">
        <v>40478</v>
      </c>
      <c r="H15" s="52">
        <v>40966</v>
      </c>
      <c r="I15" s="53">
        <f t="shared" si="1"/>
        <v>-1.1912317531611594E-2</v>
      </c>
      <c r="J15" s="54">
        <v>-2.1481098277354116E-2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6393</v>
      </c>
      <c r="D16" s="52">
        <v>6538</v>
      </c>
      <c r="E16" s="53">
        <f t="shared" si="0"/>
        <v>-2.2178036096665688E-2</v>
      </c>
      <c r="F16" s="72">
        <v>0.10529045643153534</v>
      </c>
      <c r="G16" s="76">
        <v>38423</v>
      </c>
      <c r="H16" s="52">
        <v>39779</v>
      </c>
      <c r="I16" s="53">
        <f t="shared" si="1"/>
        <v>-3.4088338067824742E-2</v>
      </c>
      <c r="J16" s="54">
        <v>0.18835245724182714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26924</v>
      </c>
      <c r="D17" s="52">
        <v>24371</v>
      </c>
      <c r="E17" s="53">
        <f t="shared" si="0"/>
        <v>0.10475565220959338</v>
      </c>
      <c r="F17" s="72">
        <v>0.27664820575070181</v>
      </c>
      <c r="G17" s="76">
        <v>177824</v>
      </c>
      <c r="H17" s="52">
        <v>169227</v>
      </c>
      <c r="I17" s="53">
        <f t="shared" si="1"/>
        <v>5.0801586035325252E-2</v>
      </c>
      <c r="J17" s="54">
        <v>0.41275246165506463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108265</v>
      </c>
      <c r="D18" s="52">
        <v>110221</v>
      </c>
      <c r="E18" s="53">
        <f t="shared" si="0"/>
        <v>-1.7746164524001795E-2</v>
      </c>
      <c r="F18" s="72">
        <v>3.8290094022962906E-2</v>
      </c>
      <c r="G18" s="76">
        <v>712154</v>
      </c>
      <c r="H18" s="52">
        <v>711734</v>
      </c>
      <c r="I18" s="53">
        <f t="shared" si="1"/>
        <v>5.9010810218418364E-4</v>
      </c>
      <c r="J18" s="54">
        <v>7.4388643633255258E-2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16399</v>
      </c>
      <c r="D19" s="52">
        <v>15661</v>
      </c>
      <c r="E19" s="53">
        <f t="shared" si="0"/>
        <v>4.712342762275723E-2</v>
      </c>
      <c r="F19" s="72">
        <v>-1.2596187425488625E-2</v>
      </c>
      <c r="G19" s="76">
        <v>101530</v>
      </c>
      <c r="H19" s="52">
        <v>105575</v>
      </c>
      <c r="I19" s="53">
        <f t="shared" si="1"/>
        <v>-3.8313994790433292E-2</v>
      </c>
      <c r="J19" s="54">
        <v>-2.0954070759765964E-2</v>
      </c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>
        <v>65053</v>
      </c>
      <c r="D20" s="52">
        <v>64595</v>
      </c>
      <c r="E20" s="53">
        <f t="shared" si="0"/>
        <v>7.0903320690456351E-3</v>
      </c>
      <c r="F20" s="72">
        <v>-6.7973878683160072E-2</v>
      </c>
      <c r="G20" s="76">
        <v>404008</v>
      </c>
      <c r="H20" s="52">
        <v>396592</v>
      </c>
      <c r="I20" s="53">
        <f t="shared" si="1"/>
        <v>1.8699318190987135E-2</v>
      </c>
      <c r="J20" s="54">
        <v>3.2654231779253529E-2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211052</v>
      </c>
      <c r="D21" s="52">
        <v>200600</v>
      </c>
      <c r="E21" s="53">
        <f t="shared" si="0"/>
        <v>5.2103688933200498E-2</v>
      </c>
      <c r="F21" s="72">
        <v>-1.7554900960417785E-2</v>
      </c>
      <c r="G21" s="76">
        <v>1288429</v>
      </c>
      <c r="H21" s="52">
        <v>1242640</v>
      </c>
      <c r="I21" s="53">
        <f t="shared" si="1"/>
        <v>3.684816197772478E-2</v>
      </c>
      <c r="J21" s="54">
        <v>0.11298437572345787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47941</v>
      </c>
      <c r="D22" s="52">
        <v>48334</v>
      </c>
      <c r="E22" s="53">
        <f t="shared" si="0"/>
        <v>-8.1309223321057722E-3</v>
      </c>
      <c r="F22" s="72">
        <v>-9.6393944420151034E-2</v>
      </c>
      <c r="G22" s="76">
        <v>372617</v>
      </c>
      <c r="H22" s="52">
        <v>361631</v>
      </c>
      <c r="I22" s="53">
        <f t="shared" si="1"/>
        <v>3.0379032770973646E-2</v>
      </c>
      <c r="J22" s="54">
        <v>-3.2172686177480037E-2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33834</v>
      </c>
      <c r="D23" s="52">
        <v>34182</v>
      </c>
      <c r="E23" s="53">
        <f t="shared" si="0"/>
        <v>-1.0180796910654766E-2</v>
      </c>
      <c r="F23" s="72">
        <v>-1.5486146271627255E-2</v>
      </c>
      <c r="G23" s="76">
        <v>240256</v>
      </c>
      <c r="H23" s="52">
        <v>240474</v>
      </c>
      <c r="I23" s="53">
        <f t="shared" si="1"/>
        <v>-9.0654291108394069E-4</v>
      </c>
      <c r="J23" s="54">
        <v>3.2445433628836007E-3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7154</v>
      </c>
      <c r="D24" s="52">
        <v>6808</v>
      </c>
      <c r="E24" s="53">
        <f t="shared" si="0"/>
        <v>5.0822561692126955E-2</v>
      </c>
      <c r="F24" s="72">
        <v>9.8317366740358514E-2</v>
      </c>
      <c r="G24" s="76">
        <v>59627</v>
      </c>
      <c r="H24" s="52">
        <v>60065</v>
      </c>
      <c r="I24" s="53">
        <f t="shared" si="1"/>
        <v>-7.2921002247564592E-3</v>
      </c>
      <c r="J24" s="54">
        <v>0.12211599984944854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4098</v>
      </c>
      <c r="D25" s="52">
        <v>4203</v>
      </c>
      <c r="E25" s="53">
        <f t="shared" si="0"/>
        <v>-2.4982155603140654E-2</v>
      </c>
      <c r="F25" s="72">
        <v>2.1894169866839563E-2</v>
      </c>
      <c r="G25" s="76">
        <v>23737</v>
      </c>
      <c r="H25" s="52">
        <v>18653</v>
      </c>
      <c r="I25" s="53">
        <f t="shared" si="1"/>
        <v>0.27255669329330412</v>
      </c>
      <c r="J25" s="54">
        <v>0.30740589783980887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12123</v>
      </c>
      <c r="D26" s="52">
        <v>10615</v>
      </c>
      <c r="E26" s="53">
        <f t="shared" si="0"/>
        <v>0.14206311822892137</v>
      </c>
      <c r="F26" s="72">
        <v>0.2717678653854223</v>
      </c>
      <c r="G26" s="76">
        <v>78887</v>
      </c>
      <c r="H26" s="52">
        <v>74739</v>
      </c>
      <c r="I26" s="53">
        <f t="shared" si="1"/>
        <v>5.5499805991517048E-2</v>
      </c>
      <c r="J26" s="54">
        <v>0.28554573809655737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12477</v>
      </c>
      <c r="D27" s="52">
        <v>11028</v>
      </c>
      <c r="E27" s="53">
        <f t="shared" si="0"/>
        <v>0.13139281828074001</v>
      </c>
      <c r="F27" s="72">
        <v>5.6048346142126837E-2</v>
      </c>
      <c r="G27" s="77">
        <v>79831</v>
      </c>
      <c r="H27" s="52">
        <v>75331</v>
      </c>
      <c r="I27" s="53">
        <f t="shared" si="1"/>
        <v>5.973636351568401E-2</v>
      </c>
      <c r="J27" s="54">
        <v>1.1425429372146301E-2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12198</v>
      </c>
      <c r="D28" s="52">
        <v>12581</v>
      </c>
      <c r="E28" s="53">
        <f t="shared" si="0"/>
        <v>-3.04427311024561E-2</v>
      </c>
      <c r="F28" s="72">
        <v>-4.6450180578790246E-2</v>
      </c>
      <c r="G28" s="76">
        <v>55586</v>
      </c>
      <c r="H28" s="52">
        <v>52197</v>
      </c>
      <c r="I28" s="53">
        <f t="shared" si="1"/>
        <v>6.4927103090215876E-2</v>
      </c>
      <c r="J28" s="54">
        <v>0.12116016861977852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6177</v>
      </c>
      <c r="D29" s="55">
        <v>6655</v>
      </c>
      <c r="E29" s="53">
        <f t="shared" si="0"/>
        <v>-7.1825694966190845E-2</v>
      </c>
      <c r="F29" s="72">
        <v>-0.17169522890015287</v>
      </c>
      <c r="G29" s="77">
        <v>44318</v>
      </c>
      <c r="H29" s="55">
        <v>45356</v>
      </c>
      <c r="I29" s="53">
        <f t="shared" si="1"/>
        <v>-2.2885616015521637E-2</v>
      </c>
      <c r="J29" s="54">
        <v>-8.5951647300012035E-2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13394</v>
      </c>
      <c r="D30" s="57">
        <v>12401</v>
      </c>
      <c r="E30" s="53">
        <f t="shared" si="0"/>
        <v>8.0074187565518873E-2</v>
      </c>
      <c r="F30" s="73">
        <v>4.6880617779931466E-2</v>
      </c>
      <c r="G30" s="78">
        <v>66744</v>
      </c>
      <c r="H30" s="57">
        <v>68464</v>
      </c>
      <c r="I30" s="53">
        <f t="shared" si="1"/>
        <v>-2.512269221780794E-2</v>
      </c>
      <c r="J30" s="58">
        <v>1.6862389011109702E-2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640118</v>
      </c>
      <c r="D31" s="19">
        <v>631809</v>
      </c>
      <c r="E31" s="12">
        <f t="shared" si="0"/>
        <v>1.3151126368886823E-2</v>
      </c>
      <c r="F31" s="74">
        <v>-9.0478922463931299E-3</v>
      </c>
      <c r="G31" s="79">
        <v>4152203</v>
      </c>
      <c r="H31" s="19">
        <v>4082118</v>
      </c>
      <c r="I31" s="12">
        <f t="shared" si="1"/>
        <v>1.7168783459958759E-2</v>
      </c>
      <c r="J31" s="47">
        <v>7.461417491730904E-2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VLOOKUP("&lt;T8Titel2&gt;",Uebersetzungen!$B$4:$E$315,Uebersetzungen!$B$2+1,FALSE)</f>
        <v>Hotel- und Kurbetriebe: Logiernächte im August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VLOOKUP("&lt;T8SpaltenTitel_1&gt;",Uebersetzungen!$B$4:$E$315,Uebersetzungen!$B$2+1,FALSE)</f>
        <v>August 2025</v>
      </c>
      <c r="D39" s="21" t="str">
        <f>VLOOKUP("&lt;T8SpaltenTitel_2&gt;",Uebersetzungen!$B$4:$E$315,Uebersetzungen!$B$2+1,FALSE)</f>
        <v>August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VLOOKUP("&lt;T8SpaltenTitel_5&gt;",Uebersetzungen!$B$4:$E$315,Uebersetzungen!$B$2+1,FALSE)</f>
        <v>Januar-August 25</v>
      </c>
      <c r="H39" s="22" t="str">
        <f>VLOOKUP("&lt;T8SpaltenTitel_6&gt;",Uebersetzungen!$B$4:$E$315,Uebersetzungen!$B$2+1,FALSE)</f>
        <v>Januar-August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372422</v>
      </c>
      <c r="D40" s="17">
        <v>382049</v>
      </c>
      <c r="E40" s="10">
        <f>C40/D40-1</f>
        <v>-2.5198338433028211E-2</v>
      </c>
      <c r="F40" s="80">
        <v>-0.11530395733185361</v>
      </c>
      <c r="G40" s="83">
        <v>2550755</v>
      </c>
      <c r="H40" s="17">
        <v>2540599</v>
      </c>
      <c r="I40" s="10">
        <f>G40/H40-1</f>
        <v>3.9974824834616562E-3</v>
      </c>
      <c r="J40" s="44">
        <v>-3.0344650360243919E-2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92289</v>
      </c>
      <c r="D41" s="17">
        <v>85729</v>
      </c>
      <c r="E41" s="10">
        <f t="shared" ref="E41:E74" si="2">C41/D41-1</f>
        <v>7.6520197366118925E-2</v>
      </c>
      <c r="F41" s="80">
        <v>5.6097717275378045E-2</v>
      </c>
      <c r="G41" s="83">
        <v>574949</v>
      </c>
      <c r="H41" s="17">
        <v>593171</v>
      </c>
      <c r="I41" s="10">
        <f t="shared" ref="I41:I74" si="3">G41/H41-1</f>
        <v>-3.0719640710688778E-2</v>
      </c>
      <c r="J41" s="44">
        <v>0.13754066821306776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20226</v>
      </c>
      <c r="D42" s="17">
        <v>18011</v>
      </c>
      <c r="E42" s="10">
        <f t="shared" si="2"/>
        <v>0.12298040086613726</v>
      </c>
      <c r="F42" s="80">
        <v>0.72318020719738274</v>
      </c>
      <c r="G42" s="83">
        <v>128549</v>
      </c>
      <c r="H42" s="17">
        <v>110032</v>
      </c>
      <c r="I42" s="10">
        <f t="shared" si="3"/>
        <v>0.16828740729969471</v>
      </c>
      <c r="J42" s="44">
        <v>0.96065840809466141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16514</v>
      </c>
      <c r="D43" s="17">
        <v>15444</v>
      </c>
      <c r="E43" s="10">
        <f t="shared" si="2"/>
        <v>6.9282569282569373E-2</v>
      </c>
      <c r="F43" s="80">
        <v>0.52202764976958527</v>
      </c>
      <c r="G43" s="83">
        <v>138537</v>
      </c>
      <c r="H43" s="17">
        <v>125432</v>
      </c>
      <c r="I43" s="10">
        <f t="shared" si="3"/>
        <v>0.10447892084954402</v>
      </c>
      <c r="J43" s="44">
        <v>0.55281640412210309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22566</v>
      </c>
      <c r="D44" s="17">
        <v>21683</v>
      </c>
      <c r="E44" s="10">
        <f t="shared" si="2"/>
        <v>4.0723147165982576E-2</v>
      </c>
      <c r="F44" s="80">
        <v>-0.31754672473235346</v>
      </c>
      <c r="G44" s="83">
        <v>74340</v>
      </c>
      <c r="H44" s="17">
        <v>86362</v>
      </c>
      <c r="I44" s="10">
        <f t="shared" si="3"/>
        <v>-0.13920474282670614</v>
      </c>
      <c r="J44" s="44">
        <v>-0.27718996661111583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15876</v>
      </c>
      <c r="D45" s="17">
        <v>14812</v>
      </c>
      <c r="E45" s="10">
        <f t="shared" si="2"/>
        <v>7.1833648393194727E-2</v>
      </c>
      <c r="F45" s="80">
        <v>0.18038929946913718</v>
      </c>
      <c r="G45" s="83">
        <v>85683</v>
      </c>
      <c r="H45" s="17">
        <v>79622</v>
      </c>
      <c r="I45" s="10">
        <f t="shared" si="3"/>
        <v>7.6122177287684334E-2</v>
      </c>
      <c r="J45" s="44">
        <v>0.32435314847445063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7269</v>
      </c>
      <c r="D46" s="17">
        <v>7770</v>
      </c>
      <c r="E46" s="10">
        <f t="shared" si="2"/>
        <v>-6.4478764478764439E-2</v>
      </c>
      <c r="F46" s="80">
        <v>9.5289756803182302E-2</v>
      </c>
      <c r="G46" s="83">
        <v>36850</v>
      </c>
      <c r="H46" s="17">
        <v>35892</v>
      </c>
      <c r="I46" s="10">
        <f t="shared" si="3"/>
        <v>2.6691184665106338E-2</v>
      </c>
      <c r="J46" s="44">
        <v>0.23036754100112189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19643</v>
      </c>
      <c r="D47" s="17">
        <v>19863</v>
      </c>
      <c r="E47" s="10">
        <f t="shared" si="2"/>
        <v>-1.10758697074963E-2</v>
      </c>
      <c r="F47" s="80">
        <v>0.11534443207885725</v>
      </c>
      <c r="G47" s="83">
        <v>80060</v>
      </c>
      <c r="H47" s="17">
        <v>77942</v>
      </c>
      <c r="I47" s="10">
        <f t="shared" si="3"/>
        <v>2.717405250057725E-2</v>
      </c>
      <c r="J47" s="44">
        <v>0.27550695267591974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10436</v>
      </c>
      <c r="D48" s="17">
        <v>9158</v>
      </c>
      <c r="E48" s="10">
        <f t="shared" si="2"/>
        <v>0.13955012011356183</v>
      </c>
      <c r="F48" s="80">
        <v>0.22825600828566706</v>
      </c>
      <c r="G48" s="83">
        <v>53711</v>
      </c>
      <c r="H48" s="17">
        <v>50155</v>
      </c>
      <c r="I48" s="10">
        <f t="shared" si="3"/>
        <v>7.0900209351011823E-2</v>
      </c>
      <c r="J48" s="44">
        <v>0.33016503546380327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2272</v>
      </c>
      <c r="D49" s="17">
        <v>1861</v>
      </c>
      <c r="E49" s="10">
        <f t="shared" si="2"/>
        <v>0.22084900591080059</v>
      </c>
      <c r="F49" s="80">
        <v>1.1888246628131021</v>
      </c>
      <c r="G49" s="83">
        <v>19539</v>
      </c>
      <c r="H49" s="17">
        <v>18429</v>
      </c>
      <c r="I49" s="10">
        <f t="shared" si="3"/>
        <v>6.0231157414943892E-2</v>
      </c>
      <c r="J49" s="44">
        <v>0.97287909691229646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1849</v>
      </c>
      <c r="D50" s="17">
        <v>1992</v>
      </c>
      <c r="E50" s="10">
        <f t="shared" si="2"/>
        <v>-7.1787148594377514E-2</v>
      </c>
      <c r="F50" s="80">
        <v>1.4477098226105376</v>
      </c>
      <c r="G50" s="83">
        <v>12267</v>
      </c>
      <c r="H50" s="17">
        <v>12725</v>
      </c>
      <c r="I50" s="10">
        <f t="shared" si="3"/>
        <v>-3.5992141453831006E-2</v>
      </c>
      <c r="J50" s="44">
        <v>1.7939233817701457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10536</v>
      </c>
      <c r="D51" s="17">
        <v>13315</v>
      </c>
      <c r="E51" s="10">
        <f t="shared" si="2"/>
        <v>-0.20871197897108529</v>
      </c>
      <c r="F51" s="80">
        <v>0.52744353272057753</v>
      </c>
      <c r="G51" s="83">
        <v>32832</v>
      </c>
      <c r="H51" s="17">
        <v>32099</v>
      </c>
      <c r="I51" s="10">
        <f t="shared" si="3"/>
        <v>2.2835602355213647E-2</v>
      </c>
      <c r="J51" s="44">
        <v>0.92875270232164708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1386</v>
      </c>
      <c r="D52" s="17">
        <v>1189</v>
      </c>
      <c r="E52" s="10">
        <f t="shared" si="2"/>
        <v>0.16568544995794787</v>
      </c>
      <c r="F52" s="80">
        <v>0.65236051502145931</v>
      </c>
      <c r="G52" s="83">
        <v>13776</v>
      </c>
      <c r="H52" s="17">
        <v>10555</v>
      </c>
      <c r="I52" s="10">
        <f t="shared" si="3"/>
        <v>0.3051634296541923</v>
      </c>
      <c r="J52" s="44">
        <v>1.0527492177022797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4996</v>
      </c>
      <c r="D53" s="17">
        <v>3379</v>
      </c>
      <c r="E53" s="10">
        <f t="shared" si="2"/>
        <v>0.47854394791358401</v>
      </c>
      <c r="F53" s="80">
        <v>2.1672372258146315</v>
      </c>
      <c r="G53" s="83">
        <v>17319</v>
      </c>
      <c r="H53" s="17">
        <v>13691</v>
      </c>
      <c r="I53" s="10">
        <f t="shared" si="3"/>
        <v>0.26499160032137903</v>
      </c>
      <c r="J53" s="44">
        <v>1.7589447860579224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2616</v>
      </c>
      <c r="D54" s="17">
        <v>1872</v>
      </c>
      <c r="E54" s="10">
        <f t="shared" si="2"/>
        <v>0.39743589743589736</v>
      </c>
      <c r="F54" s="80">
        <v>2.1571325126719767</v>
      </c>
      <c r="G54" s="83">
        <v>12409</v>
      </c>
      <c r="H54" s="17">
        <v>11595</v>
      </c>
      <c r="I54" s="10">
        <f t="shared" si="3"/>
        <v>7.0202673566192253E-2</v>
      </c>
      <c r="J54" s="44">
        <v>1.3732022643818849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4216</v>
      </c>
      <c r="D55" s="17">
        <v>2710</v>
      </c>
      <c r="E55" s="10">
        <f t="shared" si="2"/>
        <v>0.55571955719557198</v>
      </c>
      <c r="F55" s="80">
        <v>1.1325240263024785</v>
      </c>
      <c r="G55" s="83">
        <v>27543</v>
      </c>
      <c r="H55" s="17">
        <v>25033</v>
      </c>
      <c r="I55" s="10">
        <f t="shared" si="3"/>
        <v>0.10026764670634769</v>
      </c>
      <c r="J55" s="44">
        <v>-0.21939565017770002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835</v>
      </c>
      <c r="D56" s="17">
        <v>816</v>
      </c>
      <c r="E56" s="10">
        <f t="shared" si="2"/>
        <v>2.3284313725490113E-2</v>
      </c>
      <c r="F56" s="80">
        <v>1.2219265566790845</v>
      </c>
      <c r="G56" s="83">
        <v>28028</v>
      </c>
      <c r="H56" s="17">
        <v>22523</v>
      </c>
      <c r="I56" s="10">
        <f t="shared" si="3"/>
        <v>0.24441681836345075</v>
      </c>
      <c r="J56" s="44">
        <v>1.03561675672535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1572</v>
      </c>
      <c r="D57" s="17">
        <v>778</v>
      </c>
      <c r="E57" s="10">
        <f t="shared" si="2"/>
        <v>1.020565552699229</v>
      </c>
      <c r="F57" s="80">
        <v>1.9394166043380707</v>
      </c>
      <c r="G57" s="83">
        <v>13560</v>
      </c>
      <c r="H57" s="17">
        <v>10031</v>
      </c>
      <c r="I57" s="10">
        <f t="shared" si="3"/>
        <v>0.35180939088824648</v>
      </c>
      <c r="J57" s="44">
        <v>1.5154899269098059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3633</v>
      </c>
      <c r="D58" s="17">
        <v>3772</v>
      </c>
      <c r="E58" s="10">
        <f t="shared" si="2"/>
        <v>-3.6850477200424225E-2</v>
      </c>
      <c r="F58" s="80">
        <v>0.2802170695609274</v>
      </c>
      <c r="G58" s="83">
        <v>18876</v>
      </c>
      <c r="H58" s="17">
        <v>18504</v>
      </c>
      <c r="I58" s="10">
        <f t="shared" si="3"/>
        <v>2.0103761348897464E-2</v>
      </c>
      <c r="J58" s="44">
        <v>0.2873569489722152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1183</v>
      </c>
      <c r="D59" s="17">
        <v>1170</v>
      </c>
      <c r="E59" s="10">
        <f t="shared" si="2"/>
        <v>1.1111111111111072E-2</v>
      </c>
      <c r="F59" s="80">
        <v>0.38719512195121952</v>
      </c>
      <c r="G59" s="83">
        <v>13912</v>
      </c>
      <c r="H59" s="17">
        <v>13284</v>
      </c>
      <c r="I59" s="10">
        <f t="shared" si="3"/>
        <v>4.7274917193616428E-2</v>
      </c>
      <c r="J59" s="44">
        <v>0.3033539441633879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1504</v>
      </c>
      <c r="D60" s="17">
        <v>1379</v>
      </c>
      <c r="E60" s="10">
        <f t="shared" si="2"/>
        <v>9.064539521392323E-2</v>
      </c>
      <c r="F60" s="80">
        <v>0.67932112550245649</v>
      </c>
      <c r="G60" s="83">
        <v>12623</v>
      </c>
      <c r="H60" s="17">
        <v>12207</v>
      </c>
      <c r="I60" s="10">
        <f t="shared" si="3"/>
        <v>3.4078807241746611E-2</v>
      </c>
      <c r="J60" s="44">
        <v>0.30481073370407885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2593</v>
      </c>
      <c r="D61" s="17">
        <v>2277</v>
      </c>
      <c r="E61" s="10">
        <f t="shared" si="2"/>
        <v>0.13877909530083432</v>
      </c>
      <c r="F61" s="80">
        <v>0.53868976976026572</v>
      </c>
      <c r="G61" s="83">
        <v>13986</v>
      </c>
      <c r="H61" s="17">
        <v>12281</v>
      </c>
      <c r="I61" s="10">
        <f t="shared" si="3"/>
        <v>0.13883234264310729</v>
      </c>
      <c r="J61" s="44">
        <v>0.72025288430788925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1764</v>
      </c>
      <c r="D62" s="17">
        <v>1402</v>
      </c>
      <c r="E62" s="10">
        <f t="shared" si="2"/>
        <v>0.25820256776034234</v>
      </c>
      <c r="F62" s="80">
        <v>0.3473877176901925</v>
      </c>
      <c r="G62" s="83">
        <v>11601</v>
      </c>
      <c r="H62" s="17">
        <v>11987</v>
      </c>
      <c r="I62" s="10">
        <f t="shared" si="3"/>
        <v>-3.2201551680987706E-2</v>
      </c>
      <c r="J62" s="44">
        <v>4.6606040922377412E-2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3263</v>
      </c>
      <c r="D63" s="17">
        <v>2896</v>
      </c>
      <c r="E63" s="10">
        <f t="shared" si="2"/>
        <v>0.12672651933701662</v>
      </c>
      <c r="F63" s="80">
        <v>0.38981173864894791</v>
      </c>
      <c r="G63" s="83">
        <v>12384</v>
      </c>
      <c r="H63" s="17">
        <v>10321</v>
      </c>
      <c r="I63" s="10">
        <f t="shared" si="3"/>
        <v>0.19988373219649258</v>
      </c>
      <c r="J63" s="44">
        <v>0.76969904827231406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2636</v>
      </c>
      <c r="D66" s="17">
        <v>2798</v>
      </c>
      <c r="E66" s="10">
        <f t="shared" si="2"/>
        <v>-5.7898498927805631E-2</v>
      </c>
      <c r="F66" s="80">
        <v>0.90489955195837557</v>
      </c>
      <c r="G66" s="83">
        <v>13688</v>
      </c>
      <c r="H66" s="17">
        <v>13205</v>
      </c>
      <c r="I66" s="10">
        <f t="shared" si="3"/>
        <v>3.6577054146156751E-2</v>
      </c>
      <c r="J66" s="44">
        <v>1.0225781665583069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4715</v>
      </c>
      <c r="D67" s="17">
        <v>3912</v>
      </c>
      <c r="E67" s="10">
        <f t="shared" si="2"/>
        <v>0.20526584867075659</v>
      </c>
      <c r="F67" s="80">
        <v>0.59225989463730921</v>
      </c>
      <c r="G67" s="83">
        <v>41069</v>
      </c>
      <c r="H67" s="17">
        <v>34760</v>
      </c>
      <c r="I67" s="10">
        <f t="shared" si="3"/>
        <v>0.18150172612197935</v>
      </c>
      <c r="J67" s="44">
        <v>0.51088955926716184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2631</v>
      </c>
      <c r="D68" s="17">
        <v>2980</v>
      </c>
      <c r="E68" s="10">
        <f t="shared" si="2"/>
        <v>-0.11711409395973149</v>
      </c>
      <c r="F68" s="80">
        <v>0.38182773109243695</v>
      </c>
      <c r="G68" s="83">
        <v>25271</v>
      </c>
      <c r="H68" s="17">
        <v>27761</v>
      </c>
      <c r="I68" s="10">
        <f t="shared" si="3"/>
        <v>-8.9694175281870292E-2</v>
      </c>
      <c r="J68" s="44">
        <v>0.44394162752694055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4385</v>
      </c>
      <c r="D69" s="17">
        <v>3577</v>
      </c>
      <c r="E69" s="10">
        <f t="shared" si="2"/>
        <v>0.2258876153201006</v>
      </c>
      <c r="F69" s="80">
        <v>0.58154800548221885</v>
      </c>
      <c r="G69" s="83">
        <v>40558</v>
      </c>
      <c r="H69" s="17">
        <v>33957</v>
      </c>
      <c r="I69" s="10">
        <f t="shared" si="3"/>
        <v>0.19439290867862291</v>
      </c>
      <c r="J69" s="44">
        <v>0.25026973371887284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1747</v>
      </c>
      <c r="D70" s="17">
        <v>1189</v>
      </c>
      <c r="E70" s="10">
        <f t="shared" si="2"/>
        <v>0.46930193439865442</v>
      </c>
      <c r="F70" s="80">
        <v>2.0424939045628698</v>
      </c>
      <c r="G70" s="83">
        <v>17207</v>
      </c>
      <c r="H70" s="17">
        <v>12414</v>
      </c>
      <c r="I70" s="10">
        <f t="shared" si="3"/>
        <v>0.38609634283873051</v>
      </c>
      <c r="J70" s="44">
        <v>1.6207810405751188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529</v>
      </c>
      <c r="D71" s="17">
        <v>500</v>
      </c>
      <c r="E71" s="10">
        <f t="shared" si="2"/>
        <v>5.8000000000000052E-2</v>
      </c>
      <c r="F71" s="80">
        <v>0.30359783144406105</v>
      </c>
      <c r="G71" s="83">
        <v>5292</v>
      </c>
      <c r="H71" s="17">
        <v>6093</v>
      </c>
      <c r="I71" s="10">
        <f t="shared" si="3"/>
        <v>-0.1314623338257016</v>
      </c>
      <c r="J71" s="44">
        <v>0.37013256006627993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2016</v>
      </c>
      <c r="D72" s="17">
        <v>1526</v>
      </c>
      <c r="E72" s="10">
        <f t="shared" si="2"/>
        <v>0.32110091743119273</v>
      </c>
      <c r="F72" s="80">
        <v>0.98895027624309395</v>
      </c>
      <c r="G72" s="83">
        <v>25029</v>
      </c>
      <c r="H72" s="17">
        <v>19456</v>
      </c>
      <c r="I72" s="10">
        <f t="shared" si="3"/>
        <v>0.28644120065789469</v>
      </c>
      <c r="J72" s="44">
        <v>0.93315929312901646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42</v>
      </c>
      <c r="F73" s="81" t="s">
        <v>42</v>
      </c>
      <c r="G73" s="84">
        <v>0</v>
      </c>
      <c r="H73" s="18">
        <v>0</v>
      </c>
      <c r="I73" s="11" t="s">
        <v>42</v>
      </c>
      <c r="J73" s="46" t="s">
        <v>42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640118</v>
      </c>
      <c r="D74" s="40">
        <v>631809</v>
      </c>
      <c r="E74" s="65">
        <f t="shared" si="2"/>
        <v>1.3151126368886823E-2</v>
      </c>
      <c r="F74" s="82">
        <v>-9.0478922463931299E-3</v>
      </c>
      <c r="G74" s="79">
        <v>4152203</v>
      </c>
      <c r="H74" s="40">
        <v>4082118</v>
      </c>
      <c r="I74" s="65">
        <f t="shared" si="3"/>
        <v>1.7168783459958759E-2</v>
      </c>
      <c r="J74" s="66">
        <v>7.461417491730904E-2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VLOOKUP("&lt;T8Titel3&gt;",Uebersetzungen!$B$4:$E$315,Uebersetzungen!$B$2+1,FALSE)</f>
        <v>Hotel- und Kurbetriebe: Logiernächte im August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VLOOKUP("&lt;T8SpaltenTitel_1&gt;",Uebersetzungen!$B$4:$E$315,Uebersetzungen!$B$2+1,FALSE)</f>
        <v>August 2025</v>
      </c>
      <c r="D82" s="21" t="str">
        <f>VLOOKUP("&lt;T8SpaltenTitel_2&gt;",Uebersetzungen!$B$4:$E$315,Uebersetzungen!$B$2+1,FALSE)</f>
        <v>August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VLOOKUP("&lt;T8SpaltenTitel_5&gt;",Uebersetzungen!$B$4:$E$315,Uebersetzungen!$B$2+1,FALSE)</f>
        <v>Januar-August 25</v>
      </c>
      <c r="H82" s="22" t="str">
        <f>VLOOKUP("&lt;T8SpaltenTitel_6&gt;",Uebersetzungen!$B$4:$E$315,Uebersetzungen!$B$2+1,FALSE)</f>
        <v>Januar-August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128612</v>
      </c>
      <c r="D83" s="17">
        <v>119794</v>
      </c>
      <c r="E83" s="10">
        <f>C83/D83-1</f>
        <v>7.3609696645908773E-2</v>
      </c>
      <c r="F83" s="80">
        <v>0.21774138570963264</v>
      </c>
      <c r="G83" s="83">
        <v>854163</v>
      </c>
      <c r="H83" s="17">
        <v>813451</v>
      </c>
      <c r="I83" s="10">
        <f>G83/H83-1</f>
        <v>5.0048497082184396E-2</v>
      </c>
      <c r="J83" s="44">
        <v>0.3441225530307801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188288</v>
      </c>
      <c r="D84" s="17">
        <v>171650</v>
      </c>
      <c r="E84" s="10">
        <f t="shared" ref="E84:E96" si="4">C84/D84-1</f>
        <v>9.6929799009612516E-2</v>
      </c>
      <c r="F84" s="80">
        <v>0.35380880959331362</v>
      </c>
      <c r="G84" s="83">
        <v>1255702</v>
      </c>
      <c r="H84" s="17">
        <v>1157401</v>
      </c>
      <c r="I84" s="10">
        <f t="shared" ref="I84:I96" si="5">G84/H84-1</f>
        <v>8.4932534186509256E-2</v>
      </c>
      <c r="J84" s="44">
        <v>0.47518227406321922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778094</v>
      </c>
      <c r="D85" s="17">
        <v>778130</v>
      </c>
      <c r="E85" s="10">
        <f t="shared" si="4"/>
        <v>-4.6264762957326511E-5</v>
      </c>
      <c r="F85" s="80">
        <v>0.17095891153104703</v>
      </c>
      <c r="G85" s="83">
        <v>4298690</v>
      </c>
      <c r="H85" s="17">
        <v>4381050</v>
      </c>
      <c r="I85" s="10">
        <f t="shared" si="5"/>
        <v>-1.8799146323369986E-2</v>
      </c>
      <c r="J85" s="44">
        <v>0.24943830805889156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60573</v>
      </c>
      <c r="D86" s="17">
        <v>54509</v>
      </c>
      <c r="E86" s="10">
        <f t="shared" si="4"/>
        <v>0.11124768386871886</v>
      </c>
      <c r="F86" s="80">
        <v>0.11757477804591843</v>
      </c>
      <c r="G86" s="83">
        <v>346997</v>
      </c>
      <c r="H86" s="17">
        <v>329768</v>
      </c>
      <c r="I86" s="10">
        <f t="shared" si="5"/>
        <v>5.2245821304674811E-2</v>
      </c>
      <c r="J86" s="44">
        <v>0.19779865486393322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373981</v>
      </c>
      <c r="D87" s="17">
        <v>363591</v>
      </c>
      <c r="E87" s="10">
        <f t="shared" si="4"/>
        <v>2.857606486409181E-2</v>
      </c>
      <c r="F87" s="80">
        <v>0.40483769543825265</v>
      </c>
      <c r="G87" s="83">
        <v>2549263</v>
      </c>
      <c r="H87" s="17">
        <v>2538735</v>
      </c>
      <c r="I87" s="10">
        <f t="shared" si="5"/>
        <v>4.1469472000819074E-3</v>
      </c>
      <c r="J87" s="44">
        <v>0.51395599896474842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640118</v>
      </c>
      <c r="D88" s="62">
        <v>631809</v>
      </c>
      <c r="E88" s="63">
        <f t="shared" si="4"/>
        <v>1.3151126368886823E-2</v>
      </c>
      <c r="F88" s="85">
        <v>-9.0478922463931299E-3</v>
      </c>
      <c r="G88" s="87">
        <v>4152203</v>
      </c>
      <c r="H88" s="62">
        <v>4082118</v>
      </c>
      <c r="I88" s="63">
        <f t="shared" si="5"/>
        <v>1.7168783459958759E-2</v>
      </c>
      <c r="J88" s="64">
        <v>7.461417491730904E-2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74109</v>
      </c>
      <c r="D89" s="17">
        <v>72704</v>
      </c>
      <c r="E89" s="10">
        <f t="shared" si="4"/>
        <v>1.9324933978873249E-2</v>
      </c>
      <c r="F89" s="80">
        <v>6.8533561720865332E-2</v>
      </c>
      <c r="G89" s="83">
        <v>422222</v>
      </c>
      <c r="H89" s="17">
        <v>421400</v>
      </c>
      <c r="I89" s="10">
        <f t="shared" si="5"/>
        <v>1.9506407214049393E-3</v>
      </c>
      <c r="J89" s="44">
        <v>0.1146939741020081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495819</v>
      </c>
      <c r="D90" s="17">
        <v>480361</v>
      </c>
      <c r="E90" s="10">
        <f t="shared" si="4"/>
        <v>3.2179964651585014E-2</v>
      </c>
      <c r="F90" s="80">
        <v>0.19524917507342865</v>
      </c>
      <c r="G90" s="83">
        <v>2885473</v>
      </c>
      <c r="H90" s="17">
        <v>2819919</v>
      </c>
      <c r="I90" s="10">
        <f t="shared" si="5"/>
        <v>2.3246767017066849E-2</v>
      </c>
      <c r="J90" s="44">
        <v>0.29411908751798266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242634</v>
      </c>
      <c r="D91" s="17">
        <v>247871</v>
      </c>
      <c r="E91" s="10">
        <f t="shared" si="4"/>
        <v>-2.1127925412815496E-2</v>
      </c>
      <c r="F91" s="80">
        <v>3.5266669681859986E-2</v>
      </c>
      <c r="G91" s="83">
        <v>1390513</v>
      </c>
      <c r="H91" s="17">
        <v>1394301</v>
      </c>
      <c r="I91" s="10">
        <f t="shared" si="5"/>
        <v>-2.7167734943889243E-3</v>
      </c>
      <c r="J91" s="44">
        <v>0.10245077153390092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350245</v>
      </c>
      <c r="D92" s="17">
        <v>339868</v>
      </c>
      <c r="E92" s="10">
        <f t="shared" si="4"/>
        <v>3.0532442006896865E-2</v>
      </c>
      <c r="F92" s="80">
        <v>-3.4242752787983055E-2</v>
      </c>
      <c r="G92" s="83">
        <v>1755753</v>
      </c>
      <c r="H92" s="17">
        <v>1702768</v>
      </c>
      <c r="I92" s="10">
        <f t="shared" si="5"/>
        <v>3.1116981291638091E-2</v>
      </c>
      <c r="J92" s="44">
        <v>1.6537265732200934E-2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340528</v>
      </c>
      <c r="D93" s="17">
        <v>322167</v>
      </c>
      <c r="E93" s="10">
        <f t="shared" si="4"/>
        <v>5.6992181073791004E-2</v>
      </c>
      <c r="F93" s="80">
        <v>0.16432168879436793</v>
      </c>
      <c r="G93" s="83">
        <v>2102484</v>
      </c>
      <c r="H93" s="17">
        <v>2010664</v>
      </c>
      <c r="I93" s="10">
        <f t="shared" si="5"/>
        <v>4.5666506189000255E-2</v>
      </c>
      <c r="J93" s="44">
        <v>0.27647282103065196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529247</v>
      </c>
      <c r="D94" s="17">
        <v>512200</v>
      </c>
      <c r="E94" s="33">
        <f t="shared" si="4"/>
        <v>3.3281921124560743E-2</v>
      </c>
      <c r="F94" s="80">
        <v>6.5029446696709625E-2</v>
      </c>
      <c r="G94" s="83">
        <v>3307247</v>
      </c>
      <c r="H94" s="17">
        <v>3258197</v>
      </c>
      <c r="I94" s="33">
        <f t="shared" si="5"/>
        <v>1.5054338334974826E-2</v>
      </c>
      <c r="J94" s="44">
        <v>0.14874341649332035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771319</v>
      </c>
      <c r="D95" s="18">
        <v>725282</v>
      </c>
      <c r="E95" s="43">
        <f t="shared" si="4"/>
        <v>6.3474620906075252E-2</v>
      </c>
      <c r="F95" s="11">
        <v>0.42801627450414093</v>
      </c>
      <c r="G95" s="84">
        <v>4966674</v>
      </c>
      <c r="H95" s="18">
        <v>4821181</v>
      </c>
      <c r="I95" s="43">
        <f t="shared" si="5"/>
        <v>3.0177875503948126E-2</v>
      </c>
      <c r="J95" s="48">
        <v>0.51637823465134902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4973567</v>
      </c>
      <c r="D96" s="40">
        <v>4819936</v>
      </c>
      <c r="E96" s="41">
        <f t="shared" si="4"/>
        <v>3.1874074676510267E-2</v>
      </c>
      <c r="F96" s="86">
        <v>0.1603383294283407</v>
      </c>
      <c r="G96" s="79">
        <v>30287384</v>
      </c>
      <c r="H96" s="40">
        <v>29730953</v>
      </c>
      <c r="I96" s="41">
        <f t="shared" si="5"/>
        <v>1.8715545377909759E-2</v>
      </c>
      <c r="J96" s="45">
        <v>0.25345877313919662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VLOOKUP("&lt;T8Aktualisierung&gt;",Uebersetzungen!$B$4:$E$315,Uebersetzungen!$B$2+1,FALSE)</f>
        <v>Letztmals aktualisiert am: 03.10.2025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VLOOKUP("&lt;T8Legende_3&gt;",Uebersetzungen!$B$4:$E$315,Uebersetzungen!$B$2+1,FALSE)</f>
        <v>Daten des September 2025 erscheinen am 4. November 2025.</v>
      </c>
    </row>
    <row r="103" spans="1:6" x14ac:dyDescent="0.2">
      <c r="A103" s="4" t="s">
        <v>47</v>
      </c>
    </row>
  </sheetData>
  <sheetProtection sheet="1" objects="1" scenarios="1"/>
  <mergeCells count="1">
    <mergeCell ref="A7:D7"/>
  </mergeCells>
  <hyperlinks>
    <hyperlink ref="E33" r:id="rId1" xr:uid="{00000000-0004-0000-0400-000000000000}"/>
    <hyperlink ref="E76" location="Länder_Pajais_Paesi!A1" display="Länder / Pajais / Paese" xr:uid="{00000000-0004-0000-04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3" t="str">
        <f>VLOOKUP("&lt;Fachbereich&gt;",Uebersetzungen!$B$4:$E$315,Uebersetzungen!$B$2+1,FALSE)</f>
        <v>Daten &amp; Statistik</v>
      </c>
      <c r="B7" s="133"/>
      <c r="C7" s="133"/>
      <c r="D7" s="133"/>
      <c r="E7" s="95"/>
      <c r="F7" s="1"/>
    </row>
    <row r="8" spans="1:10" ht="10.5" customHeight="1" x14ac:dyDescent="0.2"/>
    <row r="9" spans="1:10" ht="18" x14ac:dyDescent="0.25">
      <c r="A9" s="2" t="str">
        <f>VLOOKUP("&lt;T7Titel1&gt;",Uebersetzungen!$B$4:$E$315,Uebersetzungen!$B$2+1,FALSE)</f>
        <v>Hotel- und Kurbetriebe: Logiernächte im Juli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VLOOKUP("&lt;T7SpaltenTitel_1&gt;",Uebersetzungen!$B$4:$E$315,Uebersetzungen!$B$2+1,FALSE)</f>
        <v>Juli 2025</v>
      </c>
      <c r="D12" s="21" t="str">
        <f>VLOOKUP("&lt;T7SpaltenTitel_2&gt;",Uebersetzungen!$B$4:$E$315,Uebersetzungen!$B$2+1,FALSE)</f>
        <v>Juli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VLOOKUP("&lt;T7SpaltenTitel_5&gt;",Uebersetzungen!$B$4:$E$315,Uebersetzungen!$B$2+1,FALSE)</f>
        <v>Januar-Juli 25</v>
      </c>
      <c r="H12" s="22" t="str">
        <f>VLOOKUP("&lt;T7SpaltenTitel_6&gt;",Uebersetzungen!$B$4:$E$315,Uebersetzungen!$B$2+1,FALSE)</f>
        <v>Januar-Juli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39455</v>
      </c>
      <c r="D13" s="52">
        <v>42669</v>
      </c>
      <c r="E13" s="53">
        <f t="shared" ref="E13:E31" si="0">C13/D13-1</f>
        <v>-7.5324005718437226E-2</v>
      </c>
      <c r="F13" s="72">
        <v>-0.10500814350719756</v>
      </c>
      <c r="G13" s="76">
        <v>283216</v>
      </c>
      <c r="H13" s="52">
        <v>290802</v>
      </c>
      <c r="I13" s="53">
        <f t="shared" ref="I13:I31" si="1">G13/H13-1</f>
        <v>-2.6086478084744957E-2</v>
      </c>
      <c r="J13" s="54">
        <v>8.4537860563575595E-2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8042</v>
      </c>
      <c r="D14" s="52">
        <v>7148</v>
      </c>
      <c r="E14" s="53">
        <f t="shared" si="0"/>
        <v>0.12506994963626195</v>
      </c>
      <c r="F14" s="72">
        <v>-5.2455462343293457E-2</v>
      </c>
      <c r="G14" s="76">
        <v>38147</v>
      </c>
      <c r="H14" s="52">
        <v>35630</v>
      </c>
      <c r="I14" s="53">
        <f t="shared" si="1"/>
        <v>7.0642716811675443E-2</v>
      </c>
      <c r="J14" s="54">
        <v>2.9319705130003815E-2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8907</v>
      </c>
      <c r="D15" s="52">
        <v>8172</v>
      </c>
      <c r="E15" s="53">
        <f t="shared" si="0"/>
        <v>8.9941262848751924E-2</v>
      </c>
      <c r="F15" s="72">
        <v>-0.10139225181598066</v>
      </c>
      <c r="G15" s="76">
        <v>30233</v>
      </c>
      <c r="H15" s="52">
        <v>30213</v>
      </c>
      <c r="I15" s="53">
        <f t="shared" si="1"/>
        <v>6.6196670307494543E-4</v>
      </c>
      <c r="J15" s="54">
        <v>-2.6569472796234117E-2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5552</v>
      </c>
      <c r="D16" s="52">
        <v>5981</v>
      </c>
      <c r="E16" s="53">
        <f t="shared" si="0"/>
        <v>-7.172713593044644E-2</v>
      </c>
      <c r="F16" s="72">
        <v>4.8734416320362683E-2</v>
      </c>
      <c r="G16" s="76">
        <v>32030</v>
      </c>
      <c r="H16" s="52">
        <v>33241</v>
      </c>
      <c r="I16" s="53">
        <f t="shared" si="1"/>
        <v>-3.6430913630757233E-2</v>
      </c>
      <c r="J16" s="54">
        <v>0.20644845380240295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26253</v>
      </c>
      <c r="D17" s="52">
        <v>24716</v>
      </c>
      <c r="E17" s="53">
        <f t="shared" si="0"/>
        <v>6.218643793494083E-2</v>
      </c>
      <c r="F17" s="72">
        <v>0.2954464708668878</v>
      </c>
      <c r="G17" s="76">
        <v>150900</v>
      </c>
      <c r="H17" s="52">
        <v>144856</v>
      </c>
      <c r="I17" s="53">
        <f t="shared" si="1"/>
        <v>4.1724195062682989E-2</v>
      </c>
      <c r="J17" s="54">
        <v>0.44014659146219248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102927</v>
      </c>
      <c r="D18" s="52">
        <v>94204</v>
      </c>
      <c r="E18" s="53">
        <f t="shared" si="0"/>
        <v>9.259691732835118E-2</v>
      </c>
      <c r="F18" s="72">
        <v>2.0791307400729542E-2</v>
      </c>
      <c r="G18" s="76">
        <v>603889</v>
      </c>
      <c r="H18" s="52">
        <v>601513</v>
      </c>
      <c r="I18" s="53">
        <f t="shared" si="1"/>
        <v>3.9500393175209148E-3</v>
      </c>
      <c r="J18" s="54">
        <v>8.1127386302319415E-2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16701</v>
      </c>
      <c r="D19" s="52">
        <v>12971</v>
      </c>
      <c r="E19" s="53">
        <f t="shared" si="0"/>
        <v>0.28756456711124811</v>
      </c>
      <c r="F19" s="72">
        <v>-9.6051007815713629E-2</v>
      </c>
      <c r="G19" s="76">
        <v>85131</v>
      </c>
      <c r="H19" s="52">
        <v>89914</v>
      </c>
      <c r="I19" s="53">
        <f t="shared" si="1"/>
        <v>-5.3195275485463878E-2</v>
      </c>
      <c r="J19" s="54">
        <v>-2.2547844417806995E-2</v>
      </c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>
        <v>59607</v>
      </c>
      <c r="D20" s="52">
        <v>60365</v>
      </c>
      <c r="E20" s="53">
        <f t="shared" si="0"/>
        <v>-1.2556945249730833E-2</v>
      </c>
      <c r="F20" s="72">
        <v>-0.15403065569117225</v>
      </c>
      <c r="G20" s="76">
        <v>338955</v>
      </c>
      <c r="H20" s="52">
        <v>331997</v>
      </c>
      <c r="I20" s="53">
        <f t="shared" si="1"/>
        <v>2.0958020705006408E-2</v>
      </c>
      <c r="J20" s="54">
        <v>5.4504920431863058E-2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189600</v>
      </c>
      <c r="D21" s="52">
        <v>189389</v>
      </c>
      <c r="E21" s="53">
        <f t="shared" si="0"/>
        <v>1.1141090559640965E-3</v>
      </c>
      <c r="F21" s="72">
        <v>-0.11326123436281088</v>
      </c>
      <c r="G21" s="76">
        <v>1077377</v>
      </c>
      <c r="H21" s="52">
        <v>1042040</v>
      </c>
      <c r="I21" s="53">
        <f t="shared" si="1"/>
        <v>3.3911366166365919E-2</v>
      </c>
      <c r="J21" s="54">
        <v>0.14272825778904608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45339</v>
      </c>
      <c r="D22" s="52">
        <v>46439</v>
      </c>
      <c r="E22" s="53">
        <f t="shared" si="0"/>
        <v>-2.3686987230560508E-2</v>
      </c>
      <c r="F22" s="72">
        <v>-0.25434672490806587</v>
      </c>
      <c r="G22" s="76">
        <v>324676</v>
      </c>
      <c r="H22" s="52">
        <v>313297</v>
      </c>
      <c r="I22" s="53">
        <f t="shared" si="1"/>
        <v>3.6320169040878092E-2</v>
      </c>
      <c r="J22" s="54">
        <v>-2.1908224290281275E-2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32752</v>
      </c>
      <c r="D23" s="52">
        <v>31285</v>
      </c>
      <c r="E23" s="53">
        <f t="shared" si="0"/>
        <v>4.6891481540674462E-2</v>
      </c>
      <c r="F23" s="72">
        <v>-0.11684445547010658</v>
      </c>
      <c r="G23" s="76">
        <v>206422</v>
      </c>
      <c r="H23" s="52">
        <v>206292</v>
      </c>
      <c r="I23" s="53">
        <f t="shared" si="1"/>
        <v>6.3017470381798724E-4</v>
      </c>
      <c r="J23" s="54">
        <v>6.382829350484176E-3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7189</v>
      </c>
      <c r="D24" s="52">
        <v>6663</v>
      </c>
      <c r="E24" s="53">
        <f t="shared" si="0"/>
        <v>7.8943418880384142E-2</v>
      </c>
      <c r="F24" s="72">
        <v>3.3318001494854199E-2</v>
      </c>
      <c r="G24" s="76">
        <v>52473</v>
      </c>
      <c r="H24" s="52">
        <v>53257</v>
      </c>
      <c r="I24" s="53">
        <f t="shared" si="1"/>
        <v>-1.4721069530765907E-2</v>
      </c>
      <c r="J24" s="54">
        <v>0.12544075634217267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3844</v>
      </c>
      <c r="D25" s="52">
        <v>3328</v>
      </c>
      <c r="E25" s="53">
        <f t="shared" si="0"/>
        <v>0.15504807692307687</v>
      </c>
      <c r="F25" s="72">
        <v>3.0010718113612E-2</v>
      </c>
      <c r="G25" s="76">
        <v>19639</v>
      </c>
      <c r="H25" s="52">
        <v>14450</v>
      </c>
      <c r="I25" s="53">
        <f t="shared" si="1"/>
        <v>0.35910034602076135</v>
      </c>
      <c r="J25" s="54">
        <v>0.38834690645854564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12232</v>
      </c>
      <c r="D26" s="52">
        <v>11660</v>
      </c>
      <c r="E26" s="53">
        <f t="shared" si="0"/>
        <v>4.9056603773584895E-2</v>
      </c>
      <c r="F26" s="72">
        <v>0.22029569624294187</v>
      </c>
      <c r="G26" s="76">
        <v>66764</v>
      </c>
      <c r="H26" s="52">
        <v>64124</v>
      </c>
      <c r="I26" s="53">
        <f t="shared" si="1"/>
        <v>4.1170232674193841E-2</v>
      </c>
      <c r="J26" s="54">
        <v>0.28807961074390054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11835</v>
      </c>
      <c r="D27" s="52">
        <v>11083</v>
      </c>
      <c r="E27" s="53">
        <f t="shared" si="0"/>
        <v>6.7851664711720661E-2</v>
      </c>
      <c r="F27" s="72">
        <v>-7.0379388893252681E-2</v>
      </c>
      <c r="G27" s="77">
        <v>67354</v>
      </c>
      <c r="H27" s="52">
        <v>64303</v>
      </c>
      <c r="I27" s="53">
        <f t="shared" si="1"/>
        <v>4.7447241963827436E-2</v>
      </c>
      <c r="J27" s="54">
        <v>3.5700237206919283E-3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13549</v>
      </c>
      <c r="D28" s="52">
        <v>12166</v>
      </c>
      <c r="E28" s="53">
        <f t="shared" si="0"/>
        <v>0.11367746177872751</v>
      </c>
      <c r="F28" s="72">
        <v>5.3216628836167956E-2</v>
      </c>
      <c r="G28" s="76">
        <v>43388</v>
      </c>
      <c r="H28" s="52">
        <v>39616</v>
      </c>
      <c r="I28" s="53">
        <f t="shared" si="1"/>
        <v>9.5214054927302172E-2</v>
      </c>
      <c r="J28" s="54">
        <v>0.1794448008524796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5943</v>
      </c>
      <c r="D29" s="55">
        <v>5530</v>
      </c>
      <c r="E29" s="53">
        <f t="shared" si="0"/>
        <v>7.4683544303797422E-2</v>
      </c>
      <c r="F29" s="72">
        <v>-0.14415322580645162</v>
      </c>
      <c r="G29" s="77">
        <v>38141</v>
      </c>
      <c r="H29" s="55">
        <v>38701</v>
      </c>
      <c r="I29" s="53">
        <f t="shared" si="1"/>
        <v>-1.4469910338234193E-2</v>
      </c>
      <c r="J29" s="54">
        <v>-7.0366578921712053E-2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12122</v>
      </c>
      <c r="D30" s="57">
        <v>12793</v>
      </c>
      <c r="E30" s="53">
        <f t="shared" si="0"/>
        <v>-5.2450558899398092E-2</v>
      </c>
      <c r="F30" s="73">
        <v>-0.13782557362124637</v>
      </c>
      <c r="G30" s="78">
        <v>53350</v>
      </c>
      <c r="H30" s="57">
        <v>56063</v>
      </c>
      <c r="I30" s="53">
        <f t="shared" si="1"/>
        <v>-4.839198758539498E-2</v>
      </c>
      <c r="J30" s="58">
        <v>9.5944590579641886E-3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601849</v>
      </c>
      <c r="D31" s="19">
        <v>586562</v>
      </c>
      <c r="E31" s="12">
        <f t="shared" si="0"/>
        <v>2.6062036067798555E-2</v>
      </c>
      <c r="F31" s="74">
        <v>-8.370407969694349E-2</v>
      </c>
      <c r="G31" s="79">
        <v>3512085</v>
      </c>
      <c r="H31" s="19">
        <v>3450309</v>
      </c>
      <c r="I31" s="12">
        <f t="shared" si="1"/>
        <v>1.7904483337579435E-2</v>
      </c>
      <c r="J31" s="47">
        <v>9.1408332029703887E-2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VLOOKUP("&lt;T7Titel2&gt;",Uebersetzungen!$B$4:$E$315,Uebersetzungen!$B$2+1,FALSE)</f>
        <v>Hotel- und Kurbetriebe: Logiernächte im Juli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VLOOKUP("&lt;T7SpaltenTitel_1&gt;",Uebersetzungen!$B$4:$E$315,Uebersetzungen!$B$2+1,FALSE)</f>
        <v>Juli 2025</v>
      </c>
      <c r="D39" s="21" t="str">
        <f>VLOOKUP("&lt;T7SpaltenTitel_2&gt;",Uebersetzungen!$B$4:$E$315,Uebersetzungen!$B$2+1,FALSE)</f>
        <v>Juli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VLOOKUP("&lt;T7SpaltenTitel_5&gt;",Uebersetzungen!$B$4:$E$315,Uebersetzungen!$B$2+1,FALSE)</f>
        <v>Januar-Juli 25</v>
      </c>
      <c r="H39" s="22" t="str">
        <f>VLOOKUP("&lt;T7SpaltenTitel_6&gt;",Uebersetzungen!$B$4:$E$315,Uebersetzungen!$B$2+1,FALSE)</f>
        <v>Januar-Juli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381618</v>
      </c>
      <c r="D40" s="17">
        <v>376431</v>
      </c>
      <c r="E40" s="10">
        <f>C40/D40-1</f>
        <v>1.3779417741896838E-2</v>
      </c>
      <c r="F40" s="80">
        <v>-0.18699058819819969</v>
      </c>
      <c r="G40" s="83">
        <v>2178333</v>
      </c>
      <c r="H40" s="17">
        <v>2158550</v>
      </c>
      <c r="I40" s="10">
        <f>G40/H40-1</f>
        <v>9.1649486924092471E-3</v>
      </c>
      <c r="J40" s="44">
        <v>-1.4158823608744098E-2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72245</v>
      </c>
      <c r="D41" s="17">
        <v>69197</v>
      </c>
      <c r="E41" s="10">
        <f t="shared" ref="E41:E74" si="2">C41/D41-1</f>
        <v>4.4048152376548133E-2</v>
      </c>
      <c r="F41" s="80">
        <v>3.2558206011405355E-2</v>
      </c>
      <c r="G41" s="83">
        <v>482660</v>
      </c>
      <c r="H41" s="17">
        <v>507442</v>
      </c>
      <c r="I41" s="10">
        <f t="shared" ref="I41:I74" si="3">G41/H41-1</f>
        <v>-4.8837108477422064E-2</v>
      </c>
      <c r="J41" s="44">
        <v>0.15456525233659169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19036</v>
      </c>
      <c r="D42" s="17">
        <v>18188</v>
      </c>
      <c r="E42" s="10">
        <f t="shared" si="2"/>
        <v>4.6624147789751547E-2</v>
      </c>
      <c r="F42" s="80">
        <v>0.69208888888888898</v>
      </c>
      <c r="G42" s="83">
        <v>108323</v>
      </c>
      <c r="H42" s="17">
        <v>92021</v>
      </c>
      <c r="I42" s="10">
        <f t="shared" si="3"/>
        <v>0.17715521457058725</v>
      </c>
      <c r="J42" s="44">
        <v>1.0124436616840002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15493</v>
      </c>
      <c r="D43" s="17">
        <v>12083</v>
      </c>
      <c r="E43" s="10">
        <f t="shared" si="2"/>
        <v>0.28221468178432518</v>
      </c>
      <c r="F43" s="80">
        <v>0.93701240248049622</v>
      </c>
      <c r="G43" s="83">
        <v>122023</v>
      </c>
      <c r="H43" s="17">
        <v>109988</v>
      </c>
      <c r="I43" s="10">
        <f t="shared" si="3"/>
        <v>0.10942102774848173</v>
      </c>
      <c r="J43" s="44">
        <v>0.55707916382744704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17666</v>
      </c>
      <c r="D44" s="17">
        <v>24701</v>
      </c>
      <c r="E44" s="10">
        <f t="shared" si="2"/>
        <v>-0.2848062831464313</v>
      </c>
      <c r="F44" s="80">
        <v>-0.50975984726130419</v>
      </c>
      <c r="G44" s="83">
        <v>51774</v>
      </c>
      <c r="H44" s="17">
        <v>64679</v>
      </c>
      <c r="I44" s="10">
        <f t="shared" si="3"/>
        <v>-0.19952380216144339</v>
      </c>
      <c r="J44" s="44">
        <v>-0.2580671972669405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14346</v>
      </c>
      <c r="D45" s="17">
        <v>13215</v>
      </c>
      <c r="E45" s="10">
        <f t="shared" si="2"/>
        <v>8.5584562996594782E-2</v>
      </c>
      <c r="F45" s="80">
        <v>0.32813657235965032</v>
      </c>
      <c r="G45" s="83">
        <v>69807</v>
      </c>
      <c r="H45" s="17">
        <v>64810</v>
      </c>
      <c r="I45" s="10">
        <f t="shared" si="3"/>
        <v>7.7102299027927756E-2</v>
      </c>
      <c r="J45" s="44">
        <v>0.36213564573975288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5507</v>
      </c>
      <c r="D46" s="17">
        <v>6100</v>
      </c>
      <c r="E46" s="10">
        <f t="shared" si="2"/>
        <v>-9.7213114754098329E-2</v>
      </c>
      <c r="F46" s="80">
        <v>-8.346033819580656E-4</v>
      </c>
      <c r="G46" s="83">
        <v>29581</v>
      </c>
      <c r="H46" s="17">
        <v>28122</v>
      </c>
      <c r="I46" s="10">
        <f t="shared" si="3"/>
        <v>5.1881089538439618E-2</v>
      </c>
      <c r="J46" s="44">
        <v>0.26881932589281865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8942</v>
      </c>
      <c r="D47" s="17">
        <v>8120</v>
      </c>
      <c r="E47" s="10">
        <f t="shared" si="2"/>
        <v>0.10123152709359595</v>
      </c>
      <c r="F47" s="80">
        <v>0.20369373250053835</v>
      </c>
      <c r="G47" s="83">
        <v>60417</v>
      </c>
      <c r="H47" s="17">
        <v>58079</v>
      </c>
      <c r="I47" s="10">
        <f t="shared" si="3"/>
        <v>4.0255514041219742E-2</v>
      </c>
      <c r="J47" s="44">
        <v>0.33797358467166849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6987</v>
      </c>
      <c r="D48" s="17">
        <v>5323</v>
      </c>
      <c r="E48" s="10">
        <f t="shared" si="2"/>
        <v>0.31260567349239143</v>
      </c>
      <c r="F48" s="80">
        <v>0.34355049611568345</v>
      </c>
      <c r="G48" s="83">
        <v>43275</v>
      </c>
      <c r="H48" s="17">
        <v>40997</v>
      </c>
      <c r="I48" s="10">
        <f t="shared" si="3"/>
        <v>5.5565041344488586E-2</v>
      </c>
      <c r="J48" s="44">
        <v>0.35732343033504166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2011</v>
      </c>
      <c r="D49" s="17">
        <v>2225</v>
      </c>
      <c r="E49" s="10">
        <f t="shared" si="2"/>
        <v>-9.6179775280898827E-2</v>
      </c>
      <c r="F49" s="80">
        <v>0.72618025751072968</v>
      </c>
      <c r="G49" s="83">
        <v>17267</v>
      </c>
      <c r="H49" s="17">
        <v>16568</v>
      </c>
      <c r="I49" s="10">
        <f t="shared" si="3"/>
        <v>4.218976339932401E-2</v>
      </c>
      <c r="J49" s="44">
        <v>0.9475963816012094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2615</v>
      </c>
      <c r="D50" s="17">
        <v>2110</v>
      </c>
      <c r="E50" s="10">
        <f t="shared" si="2"/>
        <v>0.23933649289099534</v>
      </c>
      <c r="F50" s="80">
        <v>1.9441567214591307</v>
      </c>
      <c r="G50" s="83">
        <v>10418</v>
      </c>
      <c r="H50" s="17">
        <v>10733</v>
      </c>
      <c r="I50" s="10">
        <f t="shared" si="3"/>
        <v>-2.9348737538432923E-2</v>
      </c>
      <c r="J50" s="44">
        <v>1.865867077464789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8532</v>
      </c>
      <c r="D51" s="17">
        <v>7177</v>
      </c>
      <c r="E51" s="10">
        <f t="shared" si="2"/>
        <v>0.18879754772188928</v>
      </c>
      <c r="F51" s="80">
        <v>1.5540322097826738</v>
      </c>
      <c r="G51" s="83">
        <v>22296</v>
      </c>
      <c r="H51" s="17">
        <v>18784</v>
      </c>
      <c r="I51" s="10">
        <f t="shared" si="3"/>
        <v>0.1869676320272573</v>
      </c>
      <c r="J51" s="44">
        <v>1.2021610730300458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1340</v>
      </c>
      <c r="D52" s="17">
        <v>1439</v>
      </c>
      <c r="E52" s="10">
        <f t="shared" si="2"/>
        <v>-6.8797776233495478E-2</v>
      </c>
      <c r="F52" s="80">
        <v>0.69921379660157235</v>
      </c>
      <c r="G52" s="83">
        <v>12390</v>
      </c>
      <c r="H52" s="17">
        <v>9366</v>
      </c>
      <c r="I52" s="10">
        <f t="shared" si="3"/>
        <v>0.32286995515695072</v>
      </c>
      <c r="J52" s="44">
        <v>1.1099417594768566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5489</v>
      </c>
      <c r="D53" s="17">
        <v>4144</v>
      </c>
      <c r="E53" s="10">
        <f t="shared" si="2"/>
        <v>0.32456563706563712</v>
      </c>
      <c r="F53" s="80">
        <v>2.0056948855547039</v>
      </c>
      <c r="G53" s="83">
        <v>12323</v>
      </c>
      <c r="H53" s="17">
        <v>10312</v>
      </c>
      <c r="I53" s="10">
        <f t="shared" si="3"/>
        <v>0.1950155159038014</v>
      </c>
      <c r="J53" s="44">
        <v>1.6219148936170211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2421</v>
      </c>
      <c r="D54" s="17">
        <v>2808</v>
      </c>
      <c r="E54" s="10">
        <f t="shared" si="2"/>
        <v>-0.13782051282051277</v>
      </c>
      <c r="F54" s="80">
        <v>1.5667938931297707</v>
      </c>
      <c r="G54" s="83">
        <v>9793</v>
      </c>
      <c r="H54" s="17">
        <v>9723</v>
      </c>
      <c r="I54" s="10">
        <f t="shared" si="3"/>
        <v>7.1994240460762082E-3</v>
      </c>
      <c r="J54" s="44">
        <v>1.2255806554247535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2541</v>
      </c>
      <c r="D55" s="17">
        <v>2207</v>
      </c>
      <c r="E55" s="10">
        <f t="shared" si="2"/>
        <v>0.15133665609424551</v>
      </c>
      <c r="F55" s="80">
        <v>0.60477453580901841</v>
      </c>
      <c r="G55" s="83">
        <v>23327</v>
      </c>
      <c r="H55" s="17">
        <v>22323</v>
      </c>
      <c r="I55" s="10">
        <f t="shared" si="3"/>
        <v>4.4976033687228467E-2</v>
      </c>
      <c r="J55" s="44">
        <v>-0.29964091848008845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1374</v>
      </c>
      <c r="D56" s="17">
        <v>1009</v>
      </c>
      <c r="E56" s="10">
        <f t="shared" si="2"/>
        <v>0.36174430128840429</v>
      </c>
      <c r="F56" s="80">
        <v>1.4113724113724118</v>
      </c>
      <c r="G56" s="83">
        <v>27193</v>
      </c>
      <c r="H56" s="17">
        <v>21707</v>
      </c>
      <c r="I56" s="10">
        <f t="shared" si="3"/>
        <v>0.25272953425162381</v>
      </c>
      <c r="J56" s="44">
        <v>1.0303890091839021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2482</v>
      </c>
      <c r="D57" s="17">
        <v>1725</v>
      </c>
      <c r="E57" s="10">
        <f t="shared" si="2"/>
        <v>0.4388405797101449</v>
      </c>
      <c r="F57" s="80">
        <v>1.3015578635014835</v>
      </c>
      <c r="G57" s="83">
        <v>11988</v>
      </c>
      <c r="H57" s="17">
        <v>9253</v>
      </c>
      <c r="I57" s="10">
        <f t="shared" si="3"/>
        <v>0.29557981195288008</v>
      </c>
      <c r="J57" s="44">
        <v>1.4688001977017175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3355</v>
      </c>
      <c r="D58" s="17">
        <v>3445</v>
      </c>
      <c r="E58" s="10">
        <f t="shared" si="2"/>
        <v>-2.6124818577648812E-2</v>
      </c>
      <c r="F58" s="80">
        <v>0.29837461300309598</v>
      </c>
      <c r="G58" s="83">
        <v>15243</v>
      </c>
      <c r="H58" s="17">
        <v>14732</v>
      </c>
      <c r="I58" s="10">
        <f t="shared" si="3"/>
        <v>3.4686396959000776E-2</v>
      </c>
      <c r="J58" s="44">
        <v>0.2890704282524863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1933</v>
      </c>
      <c r="D59" s="17">
        <v>1919</v>
      </c>
      <c r="E59" s="10">
        <f t="shared" si="2"/>
        <v>7.2954663887441207E-3</v>
      </c>
      <c r="F59" s="80">
        <v>0.2835325365205843</v>
      </c>
      <c r="G59" s="83">
        <v>12729</v>
      </c>
      <c r="H59" s="17">
        <v>12114</v>
      </c>
      <c r="I59" s="10">
        <f t="shared" si="3"/>
        <v>5.0767706785537436E-2</v>
      </c>
      <c r="J59" s="44">
        <v>0.29607379953569835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4022</v>
      </c>
      <c r="D60" s="17">
        <v>3634</v>
      </c>
      <c r="E60" s="10">
        <f t="shared" si="2"/>
        <v>0.10676940011007163</v>
      </c>
      <c r="F60" s="80">
        <v>0.54478414502995864</v>
      </c>
      <c r="G60" s="83">
        <v>11119</v>
      </c>
      <c r="H60" s="17">
        <v>10828</v>
      </c>
      <c r="I60" s="10">
        <f t="shared" si="3"/>
        <v>2.6874769117103847E-2</v>
      </c>
      <c r="J60" s="44">
        <v>0.26660287517371795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1423</v>
      </c>
      <c r="D61" s="17">
        <v>1342</v>
      </c>
      <c r="E61" s="10">
        <f t="shared" si="2"/>
        <v>6.0357675111773368E-2</v>
      </c>
      <c r="F61" s="80">
        <v>0.50518299132642275</v>
      </c>
      <c r="G61" s="83">
        <v>11393</v>
      </c>
      <c r="H61" s="17">
        <v>10004</v>
      </c>
      <c r="I61" s="10">
        <f t="shared" si="3"/>
        <v>0.13884446221511393</v>
      </c>
      <c r="J61" s="44">
        <v>0.7677269200930954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854</v>
      </c>
      <c r="D62" s="17">
        <v>933</v>
      </c>
      <c r="E62" s="10">
        <f t="shared" si="2"/>
        <v>-8.4673097534833874E-2</v>
      </c>
      <c r="F62" s="80">
        <v>3.2894736842103978E-3</v>
      </c>
      <c r="G62" s="83">
        <v>9837</v>
      </c>
      <c r="H62" s="17">
        <v>10585</v>
      </c>
      <c r="I62" s="10">
        <f t="shared" si="3"/>
        <v>-7.0666036844591384E-2</v>
      </c>
      <c r="J62" s="44">
        <v>6.3221212865212095E-3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2070</v>
      </c>
      <c r="D63" s="17">
        <v>1745</v>
      </c>
      <c r="E63" s="10">
        <f t="shared" si="2"/>
        <v>0.18624641833810895</v>
      </c>
      <c r="F63" s="80">
        <v>0.30008792865217937</v>
      </c>
      <c r="G63" s="83">
        <v>9121</v>
      </c>
      <c r="H63" s="17">
        <v>7425</v>
      </c>
      <c r="I63" s="10">
        <f t="shared" si="3"/>
        <v>0.22841750841750841</v>
      </c>
      <c r="J63" s="44">
        <v>0.96150537634408595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2245</v>
      </c>
      <c r="D66" s="17">
        <v>2013</v>
      </c>
      <c r="E66" s="10">
        <f t="shared" si="2"/>
        <v>0.11525086934923001</v>
      </c>
      <c r="F66" s="80">
        <v>0.86585771276595747</v>
      </c>
      <c r="G66" s="83">
        <v>11052</v>
      </c>
      <c r="H66" s="17">
        <v>10407</v>
      </c>
      <c r="I66" s="10">
        <f t="shared" si="3"/>
        <v>6.1977515134044481E-2</v>
      </c>
      <c r="J66" s="44">
        <v>1.0528251420929453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5146</v>
      </c>
      <c r="D67" s="17">
        <v>4022</v>
      </c>
      <c r="E67" s="10">
        <f t="shared" si="2"/>
        <v>0.27946295375435115</v>
      </c>
      <c r="F67" s="80">
        <v>0.39897781644193131</v>
      </c>
      <c r="G67" s="83">
        <v>36354</v>
      </c>
      <c r="H67" s="17">
        <v>30848</v>
      </c>
      <c r="I67" s="10">
        <f t="shared" si="3"/>
        <v>0.17848807053941917</v>
      </c>
      <c r="J67" s="44">
        <v>0.50094133967498999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3041</v>
      </c>
      <c r="D68" s="17">
        <v>3302</v>
      </c>
      <c r="E68" s="10">
        <f t="shared" si="2"/>
        <v>-7.9043004239854664E-2</v>
      </c>
      <c r="F68" s="80">
        <v>0.60831394118891469</v>
      </c>
      <c r="G68" s="83">
        <v>22640</v>
      </c>
      <c r="H68" s="17">
        <v>24781</v>
      </c>
      <c r="I68" s="10">
        <f t="shared" si="3"/>
        <v>-8.6396836285864143E-2</v>
      </c>
      <c r="J68" s="44">
        <v>0.45152397194404204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3347</v>
      </c>
      <c r="D69" s="17">
        <v>2885</v>
      </c>
      <c r="E69" s="10">
        <f t="shared" si="2"/>
        <v>0.1601386481802427</v>
      </c>
      <c r="F69" s="80">
        <v>0.38191577208918259</v>
      </c>
      <c r="G69" s="83">
        <v>36173</v>
      </c>
      <c r="H69" s="17">
        <v>30380</v>
      </c>
      <c r="I69" s="10">
        <f t="shared" si="3"/>
        <v>0.19068466096115855</v>
      </c>
      <c r="J69" s="44">
        <v>0.21930912670055425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2220</v>
      </c>
      <c r="D70" s="17">
        <v>1355</v>
      </c>
      <c r="E70" s="10">
        <f t="shared" si="2"/>
        <v>0.63837638376383765</v>
      </c>
      <c r="F70" s="80">
        <v>2.3403551008125185</v>
      </c>
      <c r="G70" s="83">
        <v>15460</v>
      </c>
      <c r="H70" s="17">
        <v>11225</v>
      </c>
      <c r="I70" s="10">
        <f t="shared" si="3"/>
        <v>0.37728285077951007</v>
      </c>
      <c r="J70" s="44">
        <v>1.5803651901058182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379</v>
      </c>
      <c r="D71" s="17">
        <v>435</v>
      </c>
      <c r="E71" s="10">
        <f t="shared" si="2"/>
        <v>-0.12873563218390804</v>
      </c>
      <c r="F71" s="80">
        <v>7.1832579185520329E-2</v>
      </c>
      <c r="G71" s="83">
        <v>4763</v>
      </c>
      <c r="H71" s="17">
        <v>5593</v>
      </c>
      <c r="I71" s="10">
        <f t="shared" si="3"/>
        <v>-0.14839978544609334</v>
      </c>
      <c r="J71" s="44">
        <v>0.37794364404327951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1169</v>
      </c>
      <c r="D72" s="17">
        <v>1330</v>
      </c>
      <c r="E72" s="10">
        <f t="shared" si="2"/>
        <v>-0.12105263157894741</v>
      </c>
      <c r="F72" s="80">
        <v>0.52372262773722622</v>
      </c>
      <c r="G72" s="83">
        <v>23013</v>
      </c>
      <c r="H72" s="17">
        <v>17930</v>
      </c>
      <c r="I72" s="10">
        <f t="shared" si="3"/>
        <v>0.28349135527049629</v>
      </c>
      <c r="J72" s="44">
        <v>0.92842059395320797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42</v>
      </c>
      <c r="F73" s="81" t="s">
        <v>42</v>
      </c>
      <c r="G73" s="84">
        <v>0</v>
      </c>
      <c r="H73" s="18">
        <v>0</v>
      </c>
      <c r="I73" s="11" t="s">
        <v>42</v>
      </c>
      <c r="J73" s="46" t="s">
        <v>42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601849</v>
      </c>
      <c r="D74" s="40">
        <v>586562</v>
      </c>
      <c r="E74" s="65">
        <f t="shared" si="2"/>
        <v>2.6062036067798555E-2</v>
      </c>
      <c r="F74" s="82">
        <v>-8.370407969694349E-2</v>
      </c>
      <c r="G74" s="79">
        <v>3512085</v>
      </c>
      <c r="H74" s="40">
        <v>3450309</v>
      </c>
      <c r="I74" s="65">
        <f t="shared" si="3"/>
        <v>1.7904483337579435E-2</v>
      </c>
      <c r="J74" s="66">
        <v>9.1408332029703887E-2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VLOOKUP("&lt;T7Titel3&gt;",Uebersetzungen!$B$4:$E$315,Uebersetzungen!$B$2+1,FALSE)</f>
        <v>Hotel- und Kurbetriebe: Logiernächte im Juli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VLOOKUP("&lt;T7SpaltenTitel_1&gt;",Uebersetzungen!$B$4:$E$315,Uebersetzungen!$B$2+1,FALSE)</f>
        <v>Juli 2025</v>
      </c>
      <c r="D82" s="21" t="str">
        <f>VLOOKUP("&lt;T7SpaltenTitel_2&gt;",Uebersetzungen!$B$4:$E$315,Uebersetzungen!$B$2+1,FALSE)</f>
        <v>Juli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VLOOKUP("&lt;T7SpaltenTitel_5&gt;",Uebersetzungen!$B$4:$E$315,Uebersetzungen!$B$2+1,FALSE)</f>
        <v>Januar-Juli 25</v>
      </c>
      <c r="H82" s="22" t="str">
        <f>VLOOKUP("&lt;T7SpaltenTitel_6&gt;",Uebersetzungen!$B$4:$E$315,Uebersetzungen!$B$2+1,FALSE)</f>
        <v>Januar-Juli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126853</v>
      </c>
      <c r="D83" s="17">
        <v>117647</v>
      </c>
      <c r="E83" s="10">
        <f>C83/D83-1</f>
        <v>7.8251039125519561E-2</v>
      </c>
      <c r="F83" s="80">
        <v>0.28013829405044954</v>
      </c>
      <c r="G83" s="83">
        <v>725551</v>
      </c>
      <c r="H83" s="17">
        <v>693657</v>
      </c>
      <c r="I83" s="10">
        <f>G83/H83-1</f>
        <v>4.5979497071319209E-2</v>
      </c>
      <c r="J83" s="44">
        <v>0.36931345505494995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195469</v>
      </c>
      <c r="D84" s="17">
        <v>177420</v>
      </c>
      <c r="E84" s="10">
        <f t="shared" ref="E84:E96" si="4">C84/D84-1</f>
        <v>0.10173035734415503</v>
      </c>
      <c r="F84" s="80">
        <v>0.44381380933317005</v>
      </c>
      <c r="G84" s="83">
        <v>1067414</v>
      </c>
      <c r="H84" s="17">
        <v>985751</v>
      </c>
      <c r="I84" s="10">
        <f t="shared" ref="I84:I96" si="5">G84/H84-1</f>
        <v>8.2843436121292191E-2</v>
      </c>
      <c r="J84" s="44">
        <v>0.49888645178322188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767515</v>
      </c>
      <c r="D85" s="17">
        <v>781915</v>
      </c>
      <c r="E85" s="10">
        <f t="shared" si="4"/>
        <v>-1.8416324024989938E-2</v>
      </c>
      <c r="F85" s="80">
        <v>0.17877171162908145</v>
      </c>
      <c r="G85" s="83">
        <v>3520596</v>
      </c>
      <c r="H85" s="17">
        <v>3602920</v>
      </c>
      <c r="I85" s="10">
        <f t="shared" si="5"/>
        <v>-2.284924450168202E-2</v>
      </c>
      <c r="J85" s="44">
        <v>0.26822394051883913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59878</v>
      </c>
      <c r="D86" s="17">
        <v>52961</v>
      </c>
      <c r="E86" s="10">
        <f t="shared" si="4"/>
        <v>0.13060553992560564</v>
      </c>
      <c r="F86" s="80">
        <v>0.10862602062542814</v>
      </c>
      <c r="G86" s="83">
        <v>286424</v>
      </c>
      <c r="H86" s="17">
        <v>275259</v>
      </c>
      <c r="I86" s="10">
        <f t="shared" si="5"/>
        <v>4.0561798161004692E-2</v>
      </c>
      <c r="J86" s="44">
        <v>0.2162625819974251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386997</v>
      </c>
      <c r="D87" s="17">
        <v>378234</v>
      </c>
      <c r="E87" s="10">
        <f t="shared" si="4"/>
        <v>2.3168197465061269E-2</v>
      </c>
      <c r="F87" s="80">
        <v>0.5028939670960757</v>
      </c>
      <c r="G87" s="83">
        <v>2175282</v>
      </c>
      <c r="H87" s="17">
        <v>2175144</v>
      </c>
      <c r="I87" s="10">
        <f t="shared" si="5"/>
        <v>6.3444075426799529E-5</v>
      </c>
      <c r="J87" s="44">
        <v>0.53444671991223669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601849</v>
      </c>
      <c r="D88" s="62">
        <v>586562</v>
      </c>
      <c r="E88" s="63">
        <f t="shared" si="4"/>
        <v>2.6062036067798555E-2</v>
      </c>
      <c r="F88" s="85">
        <v>-8.370407969694349E-2</v>
      </c>
      <c r="G88" s="87">
        <v>3512085</v>
      </c>
      <c r="H88" s="62">
        <v>3450309</v>
      </c>
      <c r="I88" s="63">
        <f t="shared" si="5"/>
        <v>1.7904483337579435E-2</v>
      </c>
      <c r="J88" s="64">
        <v>9.1408332029703887E-2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69345</v>
      </c>
      <c r="D89" s="17">
        <v>70108</v>
      </c>
      <c r="E89" s="10">
        <f t="shared" si="4"/>
        <v>-1.088320876362181E-2</v>
      </c>
      <c r="F89" s="80">
        <v>-1.9969473416433514E-2</v>
      </c>
      <c r="G89" s="83">
        <v>348113</v>
      </c>
      <c r="H89" s="17">
        <v>348696</v>
      </c>
      <c r="I89" s="10">
        <f t="shared" si="5"/>
        <v>-1.6719434693830415E-3</v>
      </c>
      <c r="J89" s="44">
        <v>0.12504064021180095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491930</v>
      </c>
      <c r="D90" s="17">
        <v>477071</v>
      </c>
      <c r="E90" s="10">
        <f t="shared" si="4"/>
        <v>3.1146307363054904E-2</v>
      </c>
      <c r="F90" s="80">
        <v>0.21364588668460738</v>
      </c>
      <c r="G90" s="83">
        <v>2389654</v>
      </c>
      <c r="H90" s="17">
        <v>2339558</v>
      </c>
      <c r="I90" s="10">
        <f t="shared" si="5"/>
        <v>2.1412591609184295E-2</v>
      </c>
      <c r="J90" s="44">
        <v>0.31671795079764986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218828</v>
      </c>
      <c r="D91" s="17">
        <v>223565</v>
      </c>
      <c r="E91" s="10">
        <f t="shared" si="4"/>
        <v>-2.118846867801305E-2</v>
      </c>
      <c r="F91" s="80">
        <v>-1.8783321450831059E-2</v>
      </c>
      <c r="G91" s="83">
        <v>1147879</v>
      </c>
      <c r="H91" s="17">
        <v>1146430</v>
      </c>
      <c r="I91" s="10">
        <f t="shared" si="5"/>
        <v>1.2639236586620139E-3</v>
      </c>
      <c r="J91" s="44">
        <v>0.11778378925801714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392867</v>
      </c>
      <c r="D92" s="17">
        <v>347880</v>
      </c>
      <c r="E92" s="10">
        <f t="shared" si="4"/>
        <v>0.12931758077497979</v>
      </c>
      <c r="F92" s="80">
        <v>2.8355576542623551E-2</v>
      </c>
      <c r="G92" s="83">
        <v>1405508</v>
      </c>
      <c r="H92" s="17">
        <v>1362900</v>
      </c>
      <c r="I92" s="10">
        <f t="shared" si="5"/>
        <v>3.1262748550884067E-2</v>
      </c>
      <c r="J92" s="44">
        <v>3.0033570622012284E-2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350375</v>
      </c>
      <c r="D93" s="17">
        <v>337032</v>
      </c>
      <c r="E93" s="10">
        <f t="shared" si="4"/>
        <v>3.9589712549550127E-2</v>
      </c>
      <c r="F93" s="80">
        <v>0.18495072837056958</v>
      </c>
      <c r="G93" s="83">
        <v>1761956</v>
      </c>
      <c r="H93" s="17">
        <v>1688497</v>
      </c>
      <c r="I93" s="10">
        <f t="shared" si="5"/>
        <v>4.3505555532523887E-2</v>
      </c>
      <c r="J93" s="44">
        <v>0.3006865168295465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501757</v>
      </c>
      <c r="D94" s="17">
        <v>476336</v>
      </c>
      <c r="E94" s="33">
        <f t="shared" si="4"/>
        <v>5.3367790803130477E-2</v>
      </c>
      <c r="F94" s="80">
        <v>6.0699715924585229E-2</v>
      </c>
      <c r="G94" s="83">
        <v>2778000</v>
      </c>
      <c r="H94" s="17">
        <v>2745997</v>
      </c>
      <c r="I94" s="33">
        <f t="shared" si="5"/>
        <v>1.1654419141754246E-2</v>
      </c>
      <c r="J94" s="44">
        <v>0.16620719446567933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743020</v>
      </c>
      <c r="D95" s="18">
        <v>752146</v>
      </c>
      <c r="E95" s="43">
        <f t="shared" si="4"/>
        <v>-1.2133282633956743E-2</v>
      </c>
      <c r="F95" s="11">
        <v>0.42657794857852926</v>
      </c>
      <c r="G95" s="84">
        <v>4195355</v>
      </c>
      <c r="H95" s="18">
        <v>4095899</v>
      </c>
      <c r="I95" s="43">
        <f t="shared" si="5"/>
        <v>2.428184874675865E-2</v>
      </c>
      <c r="J95" s="48">
        <v>0.53382737284952397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4906683</v>
      </c>
      <c r="D96" s="40">
        <v>4778877</v>
      </c>
      <c r="E96" s="41">
        <f t="shared" si="4"/>
        <v>2.6743940051187742E-2</v>
      </c>
      <c r="F96" s="86">
        <v>0.16144273241622598</v>
      </c>
      <c r="G96" s="79">
        <v>25313817</v>
      </c>
      <c r="H96" s="40">
        <v>24911017</v>
      </c>
      <c r="I96" s="41">
        <f t="shared" si="5"/>
        <v>1.6169552612002924E-2</v>
      </c>
      <c r="J96" s="45">
        <v>0.27353967501713083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VLOOKUP("&lt;T7Aktualisierung&gt;",Uebersetzungen!$B$4:$E$315,Uebersetzungen!$B$2+1,FALSE)</f>
        <v>Letztmals aktualisiert am: 05.09.2025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VLOOKUP("&lt;T7Legende_3&gt;",Uebersetzungen!$B$4:$E$315,Uebersetzungen!$B$2+1,FALSE)</f>
        <v>Daten des August 2025 erscheinen am 3. Oktober 2025.</v>
      </c>
    </row>
    <row r="103" spans="1:6" x14ac:dyDescent="0.2">
      <c r="A103" s="4" t="s">
        <v>47</v>
      </c>
    </row>
  </sheetData>
  <sheetProtection sheet="1" objects="1" scenarios="1"/>
  <mergeCells count="1">
    <mergeCell ref="A7:D7"/>
  </mergeCells>
  <hyperlinks>
    <hyperlink ref="E33" r:id="rId1" xr:uid="{00000000-0004-0000-0500-000000000000}"/>
    <hyperlink ref="E76" location="Länder_Pajais_Paesi!A1" display="Länder / Pajais / Paese" xr:uid="{00000000-0004-0000-05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3" t="str">
        <f>VLOOKUP("&lt;Fachbereich&gt;",Uebersetzungen!$B$4:$E$315,Uebersetzungen!$B$2+1,FALSE)</f>
        <v>Daten &amp; Statistik</v>
      </c>
      <c r="B7" s="133"/>
      <c r="C7" s="133"/>
      <c r="D7" s="133"/>
      <c r="E7" s="95"/>
      <c r="F7" s="1"/>
    </row>
    <row r="8" spans="1:10" ht="10.5" customHeight="1" x14ac:dyDescent="0.2"/>
    <row r="9" spans="1:10" ht="18" x14ac:dyDescent="0.25">
      <c r="A9" s="2" t="str">
        <f>VLOOKUP("&lt;T6Titel1&gt;",Uebersetzungen!$B$4:$E$315,Uebersetzungen!$B$2+1,FALSE)</f>
        <v>Hotel- und Kurbetriebe: Logiernächte im Juni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VLOOKUP("&lt;T6SpaltenTitel_1&gt;",Uebersetzungen!$B$4:$E$315,Uebersetzungen!$B$2+1,FALSE)</f>
        <v>Juni 2025</v>
      </c>
      <c r="D12" s="21" t="str">
        <f>VLOOKUP("&lt;T6SpaltenTitel_2&gt;",Uebersetzungen!$B$4:$E$315,Uebersetzungen!$B$2+1,FALSE)</f>
        <v>Juni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VLOOKUP("&lt;T6SpaltenTitel_5&gt;",Uebersetzungen!$B$4:$E$315,Uebersetzungen!$B$2+1,FALSE)</f>
        <v>Januar-Juni 25</v>
      </c>
      <c r="H12" s="22" t="str">
        <f>VLOOKUP("&lt;T6SpaltenTitel_6&gt;",Uebersetzungen!$B$4:$E$315,Uebersetzungen!$B$2+1,FALSE)</f>
        <v>Januar-Juni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14730</v>
      </c>
      <c r="D13" s="52">
        <v>11343</v>
      </c>
      <c r="E13" s="53">
        <f t="shared" ref="E13:E31" si="0">C13/D13-1</f>
        <v>0.29859825443004495</v>
      </c>
      <c r="F13" s="72">
        <v>0.24575024103110565</v>
      </c>
      <c r="G13" s="76">
        <v>243761</v>
      </c>
      <c r="H13" s="52">
        <v>248133</v>
      </c>
      <c r="I13" s="53">
        <f t="shared" ref="I13:I31" si="1">G13/H13-1</f>
        <v>-1.7619583046188936E-2</v>
      </c>
      <c r="J13" s="54">
        <v>0.12303483531408532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5770</v>
      </c>
      <c r="D14" s="52">
        <v>4848</v>
      </c>
      <c r="E14" s="53">
        <f t="shared" si="0"/>
        <v>0.19018151815181517</v>
      </c>
      <c r="F14" s="72">
        <v>0.16194772242136213</v>
      </c>
      <c r="G14" s="76">
        <v>30105</v>
      </c>
      <c r="H14" s="52">
        <v>28482</v>
      </c>
      <c r="I14" s="53">
        <f t="shared" si="1"/>
        <v>5.6983357910259214E-2</v>
      </c>
      <c r="J14" s="54">
        <v>5.3609676200075507E-2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5140</v>
      </c>
      <c r="D15" s="52">
        <v>4226</v>
      </c>
      <c r="E15" s="53">
        <f t="shared" si="0"/>
        <v>0.21628017037387592</v>
      </c>
      <c r="F15" s="72">
        <v>0.22322703474535932</v>
      </c>
      <c r="G15" s="76">
        <v>21326</v>
      </c>
      <c r="H15" s="52">
        <v>22041</v>
      </c>
      <c r="I15" s="53">
        <f t="shared" si="1"/>
        <v>-3.2439544485277416E-2</v>
      </c>
      <c r="J15" s="54">
        <v>8.5027097067087443E-3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5737</v>
      </c>
      <c r="D16" s="52">
        <v>5687</v>
      </c>
      <c r="E16" s="53">
        <f t="shared" si="0"/>
        <v>8.791981712678032E-3</v>
      </c>
      <c r="F16" s="72">
        <v>0.21310158166286053</v>
      </c>
      <c r="G16" s="76">
        <v>26478</v>
      </c>
      <c r="H16" s="52">
        <v>27260</v>
      </c>
      <c r="I16" s="53">
        <f t="shared" si="1"/>
        <v>-2.8686720469552451E-2</v>
      </c>
      <c r="J16" s="54">
        <v>0.24573041637261794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25503</v>
      </c>
      <c r="D17" s="52">
        <v>23173</v>
      </c>
      <c r="E17" s="53">
        <f t="shared" si="0"/>
        <v>0.10054805161178959</v>
      </c>
      <c r="F17" s="72">
        <v>0.48404403891811376</v>
      </c>
      <c r="G17" s="76">
        <v>124647</v>
      </c>
      <c r="H17" s="52">
        <v>120140</v>
      </c>
      <c r="I17" s="53">
        <f t="shared" si="1"/>
        <v>3.7514566339270861E-2</v>
      </c>
      <c r="J17" s="54">
        <v>0.47484363796420537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66839</v>
      </c>
      <c r="D18" s="52">
        <v>59962</v>
      </c>
      <c r="E18" s="53">
        <f t="shared" si="0"/>
        <v>0.11468930322537618</v>
      </c>
      <c r="F18" s="72">
        <v>0.29256897091869694</v>
      </c>
      <c r="G18" s="76">
        <v>500962</v>
      </c>
      <c r="H18" s="52">
        <v>507309</v>
      </c>
      <c r="I18" s="53">
        <f t="shared" si="1"/>
        <v>-1.2511112556646942E-2</v>
      </c>
      <c r="J18" s="54">
        <v>9.4418088061680061E-2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8869</v>
      </c>
      <c r="D19" s="52">
        <v>7828</v>
      </c>
      <c r="E19" s="53">
        <f t="shared" si="0"/>
        <v>0.13298415942769548</v>
      </c>
      <c r="F19" s="72">
        <v>9.7404043653641414E-2</v>
      </c>
      <c r="G19" s="76">
        <v>68430</v>
      </c>
      <c r="H19" s="52">
        <v>76943</v>
      </c>
      <c r="I19" s="53">
        <f t="shared" si="1"/>
        <v>-0.11064034415086488</v>
      </c>
      <c r="J19" s="54">
        <v>-2.7572457854363464E-3</v>
      </c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>
        <v>41184</v>
      </c>
      <c r="D20" s="52">
        <v>37876</v>
      </c>
      <c r="E20" s="53">
        <f t="shared" si="0"/>
        <v>8.7337628049424465E-2</v>
      </c>
      <c r="F20" s="72">
        <v>7.8437020472078123E-2</v>
      </c>
      <c r="G20" s="76">
        <v>279348</v>
      </c>
      <c r="H20" s="52">
        <v>271632</v>
      </c>
      <c r="I20" s="53">
        <f t="shared" si="1"/>
        <v>2.8406078812511115E-2</v>
      </c>
      <c r="J20" s="54">
        <v>0.11305021372629631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116685</v>
      </c>
      <c r="D21" s="52">
        <v>107940</v>
      </c>
      <c r="E21" s="53">
        <f t="shared" si="0"/>
        <v>8.1017231795441846E-2</v>
      </c>
      <c r="F21" s="72">
        <v>0.24423653556606717</v>
      </c>
      <c r="G21" s="76">
        <v>887777</v>
      </c>
      <c r="H21" s="52">
        <v>852651</v>
      </c>
      <c r="I21" s="53">
        <f t="shared" si="1"/>
        <v>4.1196222135434057E-2</v>
      </c>
      <c r="J21" s="54">
        <v>0.21781112053048424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27043</v>
      </c>
      <c r="D22" s="52">
        <v>22959</v>
      </c>
      <c r="E22" s="53">
        <f t="shared" si="0"/>
        <v>0.17788231194738446</v>
      </c>
      <c r="F22" s="72">
        <v>7.3092337605650481E-2</v>
      </c>
      <c r="G22" s="76">
        <v>279337</v>
      </c>
      <c r="H22" s="52">
        <v>266858</v>
      </c>
      <c r="I22" s="53">
        <f t="shared" si="1"/>
        <v>4.6762697764354044E-2</v>
      </c>
      <c r="J22" s="54">
        <v>3.0216416369161836E-2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23821</v>
      </c>
      <c r="D23" s="52">
        <v>19256</v>
      </c>
      <c r="E23" s="53">
        <f t="shared" si="0"/>
        <v>0.23706896551724133</v>
      </c>
      <c r="F23" s="72">
        <v>0.16404417513682557</v>
      </c>
      <c r="G23" s="76">
        <v>173670</v>
      </c>
      <c r="H23" s="52">
        <v>175007</v>
      </c>
      <c r="I23" s="53">
        <f t="shared" si="1"/>
        <v>-7.6396944122235633E-3</v>
      </c>
      <c r="J23" s="54">
        <v>3.3580197538975787E-2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6299</v>
      </c>
      <c r="D24" s="52">
        <v>5972</v>
      </c>
      <c r="E24" s="53">
        <f t="shared" si="0"/>
        <v>5.4755525787006043E-2</v>
      </c>
      <c r="F24" s="72">
        <v>0.13079850639092361</v>
      </c>
      <c r="G24" s="76">
        <v>45284</v>
      </c>
      <c r="H24" s="52">
        <v>46594</v>
      </c>
      <c r="I24" s="53">
        <f t="shared" si="1"/>
        <v>-2.811520796669098E-2</v>
      </c>
      <c r="J24" s="54">
        <v>0.14159809616005159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2368</v>
      </c>
      <c r="D25" s="52">
        <v>1606</v>
      </c>
      <c r="E25" s="53">
        <f t="shared" si="0"/>
        <v>0.47447073474470725</v>
      </c>
      <c r="F25" s="72">
        <v>0.20952089079579128</v>
      </c>
      <c r="G25" s="76">
        <v>15795</v>
      </c>
      <c r="H25" s="52">
        <v>11122</v>
      </c>
      <c r="I25" s="53">
        <f t="shared" si="1"/>
        <v>0.42015824491997833</v>
      </c>
      <c r="J25" s="54">
        <v>0.51676653606821876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8337</v>
      </c>
      <c r="D26" s="52">
        <v>7155</v>
      </c>
      <c r="E26" s="53">
        <f t="shared" si="0"/>
        <v>0.16519916142557656</v>
      </c>
      <c r="F26" s="72">
        <v>0.77202006461486139</v>
      </c>
      <c r="G26" s="76">
        <v>54532</v>
      </c>
      <c r="H26" s="52">
        <v>52464</v>
      </c>
      <c r="I26" s="53">
        <f t="shared" si="1"/>
        <v>3.9417505336992953E-2</v>
      </c>
      <c r="J26" s="54">
        <v>0.30433118703418449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8064</v>
      </c>
      <c r="D27" s="52">
        <v>6694</v>
      </c>
      <c r="E27" s="53">
        <f t="shared" si="0"/>
        <v>0.2046608903495668</v>
      </c>
      <c r="F27" s="72">
        <v>0.10356908254871899</v>
      </c>
      <c r="G27" s="77">
        <v>55519</v>
      </c>
      <c r="H27" s="52">
        <v>53220</v>
      </c>
      <c r="I27" s="53">
        <f t="shared" si="1"/>
        <v>4.3198045847425703E-2</v>
      </c>
      <c r="J27" s="54">
        <v>2.0881371889216238E-2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9167</v>
      </c>
      <c r="D28" s="52">
        <v>8568</v>
      </c>
      <c r="E28" s="53">
        <f t="shared" si="0"/>
        <v>6.9911297852474297E-2</v>
      </c>
      <c r="F28" s="72">
        <v>8.7942084025634859E-2</v>
      </c>
      <c r="G28" s="76">
        <v>29839</v>
      </c>
      <c r="H28" s="52">
        <v>27450</v>
      </c>
      <c r="I28" s="53">
        <f t="shared" si="1"/>
        <v>8.7030965391621029E-2</v>
      </c>
      <c r="J28" s="54">
        <v>0.24732468314215961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3583</v>
      </c>
      <c r="D29" s="55">
        <v>3483</v>
      </c>
      <c r="E29" s="53">
        <f t="shared" si="0"/>
        <v>2.8710881424059753E-2</v>
      </c>
      <c r="F29" s="72">
        <v>-0.13886752547587011</v>
      </c>
      <c r="G29" s="77">
        <v>32198</v>
      </c>
      <c r="H29" s="55">
        <v>33171</v>
      </c>
      <c r="I29" s="53">
        <f t="shared" si="1"/>
        <v>-2.9332850984293501E-2</v>
      </c>
      <c r="J29" s="54">
        <v>-5.5333880999882679E-2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8147</v>
      </c>
      <c r="D30" s="57">
        <v>7743</v>
      </c>
      <c r="E30" s="53">
        <f t="shared" si="0"/>
        <v>5.2176159111455567E-2</v>
      </c>
      <c r="F30" s="73">
        <v>3.160533846582414E-2</v>
      </c>
      <c r="G30" s="78">
        <v>41228</v>
      </c>
      <c r="H30" s="57">
        <v>43270</v>
      </c>
      <c r="I30" s="53">
        <f t="shared" si="1"/>
        <v>-4.7192049919112522E-2</v>
      </c>
      <c r="J30" s="58">
        <v>6.3037603910971685E-2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387286</v>
      </c>
      <c r="D31" s="19">
        <v>346319</v>
      </c>
      <c r="E31" s="12">
        <f t="shared" si="0"/>
        <v>0.11829267236276375</v>
      </c>
      <c r="F31" s="74">
        <v>0.20892231277414774</v>
      </c>
      <c r="G31" s="79">
        <v>2910236</v>
      </c>
      <c r="H31" s="19">
        <v>2863747</v>
      </c>
      <c r="I31" s="12">
        <f t="shared" si="1"/>
        <v>1.6233626783371591E-2</v>
      </c>
      <c r="J31" s="47">
        <v>0.13631805954167375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VLOOKUP("&lt;T6Titel2&gt;",Uebersetzungen!$B$4:$E$315,Uebersetzungen!$B$2+1,FALSE)</f>
        <v>Hotel- und Kurbetriebe: Logiernächte im Juni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VLOOKUP("&lt;T6SpaltenTitel_1&gt;",Uebersetzungen!$B$4:$E$315,Uebersetzungen!$B$2+1,FALSE)</f>
        <v>Juni 2025</v>
      </c>
      <c r="D39" s="21" t="str">
        <f>VLOOKUP("&lt;T6SpaltenTitel_2&gt;",Uebersetzungen!$B$4:$E$315,Uebersetzungen!$B$2+1,FALSE)</f>
        <v>Juni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VLOOKUP("&lt;T6SpaltenTitel_5&gt;",Uebersetzungen!$B$4:$E$315,Uebersetzungen!$B$2+1,FALSE)</f>
        <v>Januar-Juni 25</v>
      </c>
      <c r="H39" s="22" t="str">
        <f>VLOOKUP("&lt;T6SpaltenTitel_6&gt;",Uebersetzungen!$B$4:$E$315,Uebersetzungen!$B$2+1,FALSE)</f>
        <v>Januar-Juni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240683</v>
      </c>
      <c r="D40" s="17">
        <v>214735</v>
      </c>
      <c r="E40" s="10">
        <f>C40/D40-1</f>
        <v>0.12083731110438456</v>
      </c>
      <c r="F40" s="80">
        <v>4.9832852362225344E-2</v>
      </c>
      <c r="G40" s="83">
        <v>1796715</v>
      </c>
      <c r="H40" s="17">
        <v>1782119</v>
      </c>
      <c r="I40" s="10">
        <f>G40/H40-1</f>
        <v>8.1902499215820157E-3</v>
      </c>
      <c r="J40" s="44">
        <v>3.2458827837160698E-2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54718</v>
      </c>
      <c r="D41" s="17">
        <v>45161</v>
      </c>
      <c r="E41" s="10">
        <f t="shared" ref="E41:E74" si="2">C41/D41-1</f>
        <v>0.21162064613272524</v>
      </c>
      <c r="F41" s="80">
        <v>0.42291729511010323</v>
      </c>
      <c r="G41" s="83">
        <v>410415</v>
      </c>
      <c r="H41" s="17">
        <v>438245</v>
      </c>
      <c r="I41" s="10">
        <f t="shared" ref="I41:I74" si="3">G41/H41-1</f>
        <v>-6.3503291537838402E-2</v>
      </c>
      <c r="J41" s="44">
        <v>0.17908984715486032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15497</v>
      </c>
      <c r="D42" s="17">
        <v>13237</v>
      </c>
      <c r="E42" s="10">
        <f t="shared" si="2"/>
        <v>0.17073354989801315</v>
      </c>
      <c r="F42" s="80">
        <v>1.1626939823601652</v>
      </c>
      <c r="G42" s="83">
        <v>89287</v>
      </c>
      <c r="H42" s="17">
        <v>73833</v>
      </c>
      <c r="I42" s="10">
        <f t="shared" si="3"/>
        <v>0.20931020004604983</v>
      </c>
      <c r="J42" s="44">
        <v>1.0970908903012453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11273</v>
      </c>
      <c r="D43" s="17">
        <v>10357</v>
      </c>
      <c r="E43" s="10">
        <f t="shared" si="2"/>
        <v>8.8442599208264916E-2</v>
      </c>
      <c r="F43" s="80">
        <v>0.93454832509610108</v>
      </c>
      <c r="G43" s="83">
        <v>106530</v>
      </c>
      <c r="H43" s="17">
        <v>97905</v>
      </c>
      <c r="I43" s="10">
        <f t="shared" si="3"/>
        <v>8.8095602880343238E-2</v>
      </c>
      <c r="J43" s="44">
        <v>0.51389406010101157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7538</v>
      </c>
      <c r="D44" s="17">
        <v>10485</v>
      </c>
      <c r="E44" s="10">
        <f t="shared" si="2"/>
        <v>-0.28106819265617544</v>
      </c>
      <c r="F44" s="80">
        <v>-0.10807676834607283</v>
      </c>
      <c r="G44" s="83">
        <v>34108</v>
      </c>
      <c r="H44" s="17">
        <v>39978</v>
      </c>
      <c r="I44" s="10">
        <f t="shared" si="3"/>
        <v>-0.14683075691630398</v>
      </c>
      <c r="J44" s="44">
        <v>1.0691257348757865E-2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9766</v>
      </c>
      <c r="D45" s="17">
        <v>7837</v>
      </c>
      <c r="E45" s="10">
        <f t="shared" si="2"/>
        <v>0.24614010463187452</v>
      </c>
      <c r="F45" s="80">
        <v>0.82945562174515763</v>
      </c>
      <c r="G45" s="83">
        <v>55461</v>
      </c>
      <c r="H45" s="17">
        <v>51595</v>
      </c>
      <c r="I45" s="10">
        <f t="shared" si="3"/>
        <v>7.4929741253997539E-2</v>
      </c>
      <c r="J45" s="44">
        <v>0.37121538027918288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4242</v>
      </c>
      <c r="D46" s="17">
        <v>3899</v>
      </c>
      <c r="E46" s="10">
        <f t="shared" si="2"/>
        <v>8.797127468581678E-2</v>
      </c>
      <c r="F46" s="80">
        <v>0.44315166360481717</v>
      </c>
      <c r="G46" s="83">
        <v>24074</v>
      </c>
      <c r="H46" s="17">
        <v>22022</v>
      </c>
      <c r="I46" s="10">
        <f t="shared" si="3"/>
        <v>9.3179547725002365E-2</v>
      </c>
      <c r="J46" s="44">
        <v>0.35230477132039861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4873</v>
      </c>
      <c r="D47" s="17">
        <v>3483</v>
      </c>
      <c r="E47" s="10">
        <f t="shared" si="2"/>
        <v>0.39908125179442999</v>
      </c>
      <c r="F47" s="80">
        <v>0.5889526542324246</v>
      </c>
      <c r="G47" s="83">
        <v>51475</v>
      </c>
      <c r="H47" s="17">
        <v>49959</v>
      </c>
      <c r="I47" s="10">
        <f t="shared" si="3"/>
        <v>3.0344882803899242E-2</v>
      </c>
      <c r="J47" s="44">
        <v>0.36441468664185672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4292</v>
      </c>
      <c r="D48" s="17">
        <v>3982</v>
      </c>
      <c r="E48" s="10">
        <f t="shared" si="2"/>
        <v>7.7850326469111053E-2</v>
      </c>
      <c r="F48" s="80">
        <v>0.5723915592028137</v>
      </c>
      <c r="G48" s="83">
        <v>36288</v>
      </c>
      <c r="H48" s="17">
        <v>35674</v>
      </c>
      <c r="I48" s="10">
        <f t="shared" si="3"/>
        <v>1.721141447552843E-2</v>
      </c>
      <c r="J48" s="44">
        <v>0.36000779545914496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2421</v>
      </c>
      <c r="D49" s="17">
        <v>2171</v>
      </c>
      <c r="E49" s="10">
        <f t="shared" si="2"/>
        <v>0.11515430677107319</v>
      </c>
      <c r="F49" s="80">
        <v>1.2223242151643103</v>
      </c>
      <c r="G49" s="83">
        <v>15256</v>
      </c>
      <c r="H49" s="17">
        <v>14343</v>
      </c>
      <c r="I49" s="10">
        <f t="shared" si="3"/>
        <v>6.3654744474656688E-2</v>
      </c>
      <c r="J49" s="44">
        <v>0.98109287346769181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4128</v>
      </c>
      <c r="D50" s="17">
        <v>4270</v>
      </c>
      <c r="E50" s="10">
        <f t="shared" si="2"/>
        <v>-3.3255269320843106E-2</v>
      </c>
      <c r="F50" s="80">
        <v>2.0907457322551664</v>
      </c>
      <c r="G50" s="83">
        <v>7803</v>
      </c>
      <c r="H50" s="17">
        <v>8623</v>
      </c>
      <c r="I50" s="10">
        <f t="shared" si="3"/>
        <v>-9.5094514670068464E-2</v>
      </c>
      <c r="J50" s="44">
        <v>1.8405533309064435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1143</v>
      </c>
      <c r="D51" s="17">
        <v>1207</v>
      </c>
      <c r="E51" s="10">
        <f t="shared" si="2"/>
        <v>-5.3024026512013211E-2</v>
      </c>
      <c r="F51" s="80">
        <v>0.90818030050083465</v>
      </c>
      <c r="G51" s="83">
        <v>13764</v>
      </c>
      <c r="H51" s="17">
        <v>11607</v>
      </c>
      <c r="I51" s="10">
        <f t="shared" si="3"/>
        <v>0.18583613336779536</v>
      </c>
      <c r="J51" s="44">
        <v>1.0288915094339623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1037</v>
      </c>
      <c r="D52" s="17">
        <v>960</v>
      </c>
      <c r="E52" s="10">
        <f t="shared" si="2"/>
        <v>8.0208333333333437E-2</v>
      </c>
      <c r="F52" s="80">
        <v>0.97976326842306238</v>
      </c>
      <c r="G52" s="83">
        <v>11050</v>
      </c>
      <c r="H52" s="17">
        <v>7927</v>
      </c>
      <c r="I52" s="10">
        <f t="shared" si="3"/>
        <v>0.39396997603128558</v>
      </c>
      <c r="J52" s="44">
        <v>1.1736564639232037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2753</v>
      </c>
      <c r="D53" s="17">
        <v>2556</v>
      </c>
      <c r="E53" s="10">
        <f t="shared" si="2"/>
        <v>7.7073552425665159E-2</v>
      </c>
      <c r="F53" s="80">
        <v>1.9557655142795793</v>
      </c>
      <c r="G53" s="83">
        <v>6834</v>
      </c>
      <c r="H53" s="17">
        <v>6168</v>
      </c>
      <c r="I53" s="10">
        <f t="shared" si="3"/>
        <v>0.10797665369649811</v>
      </c>
      <c r="J53" s="44">
        <v>1.3780360498294937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1837</v>
      </c>
      <c r="D54" s="17">
        <v>1813</v>
      </c>
      <c r="E54" s="10">
        <f t="shared" si="2"/>
        <v>1.3237727523441878E-2</v>
      </c>
      <c r="F54" s="80">
        <v>1.7467105263157898</v>
      </c>
      <c r="G54" s="83">
        <v>7372</v>
      </c>
      <c r="H54" s="17">
        <v>6915</v>
      </c>
      <c r="I54" s="10">
        <f t="shared" si="3"/>
        <v>6.6088214027476555E-2</v>
      </c>
      <c r="J54" s="44">
        <v>1.1324848134220424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1710</v>
      </c>
      <c r="D55" s="17">
        <v>1138</v>
      </c>
      <c r="E55" s="10">
        <f t="shared" si="2"/>
        <v>0.50263620386643226</v>
      </c>
      <c r="F55" s="80">
        <v>0.87623436471362748</v>
      </c>
      <c r="G55" s="83">
        <v>20786</v>
      </c>
      <c r="H55" s="17">
        <v>20116</v>
      </c>
      <c r="I55" s="10">
        <f t="shared" si="3"/>
        <v>3.3306820441439733E-2</v>
      </c>
      <c r="J55" s="44">
        <v>-0.34478215094030351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1008</v>
      </c>
      <c r="D56" s="17">
        <v>821</v>
      </c>
      <c r="E56" s="10">
        <f t="shared" si="2"/>
        <v>0.22777101096224106</v>
      </c>
      <c r="F56" s="80">
        <v>1.6195426195426195</v>
      </c>
      <c r="G56" s="83">
        <v>25819</v>
      </c>
      <c r="H56" s="17">
        <v>20698</v>
      </c>
      <c r="I56" s="10">
        <f t="shared" si="3"/>
        <v>0.24741520919895632</v>
      </c>
      <c r="J56" s="44">
        <v>1.013459978788446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2110</v>
      </c>
      <c r="D57" s="17">
        <v>2251</v>
      </c>
      <c r="E57" s="10">
        <f t="shared" si="2"/>
        <v>-6.2638827187916468E-2</v>
      </c>
      <c r="F57" s="80">
        <v>1.0849802371541504</v>
      </c>
      <c r="G57" s="83">
        <v>9506</v>
      </c>
      <c r="H57" s="17">
        <v>7528</v>
      </c>
      <c r="I57" s="10">
        <f t="shared" si="3"/>
        <v>0.26275239107332626</v>
      </c>
      <c r="J57" s="44">
        <v>1.5165457722242812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939</v>
      </c>
      <c r="D58" s="17">
        <v>876</v>
      </c>
      <c r="E58" s="10">
        <f t="shared" si="2"/>
        <v>7.1917808219178037E-2</v>
      </c>
      <c r="F58" s="80">
        <v>0.26960519199567323</v>
      </c>
      <c r="G58" s="83">
        <v>11888</v>
      </c>
      <c r="H58" s="17">
        <v>11287</v>
      </c>
      <c r="I58" s="10">
        <f t="shared" si="3"/>
        <v>5.3247098431824291E-2</v>
      </c>
      <c r="J58" s="44">
        <v>0.28646870400831115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1246</v>
      </c>
      <c r="D59" s="17">
        <v>1059</v>
      </c>
      <c r="E59" s="10">
        <f t="shared" si="2"/>
        <v>0.17658168083097259</v>
      </c>
      <c r="F59" s="80">
        <v>0.71719955898566701</v>
      </c>
      <c r="G59" s="83">
        <v>10796</v>
      </c>
      <c r="H59" s="17">
        <v>10195</v>
      </c>
      <c r="I59" s="10">
        <f t="shared" si="3"/>
        <v>5.8950465914664019E-2</v>
      </c>
      <c r="J59" s="44">
        <v>0.29834519915335789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1035</v>
      </c>
      <c r="D60" s="17">
        <v>1221</v>
      </c>
      <c r="E60" s="10">
        <f t="shared" si="2"/>
        <v>-0.15233415233415237</v>
      </c>
      <c r="F60" s="80">
        <v>0.94329703342095383</v>
      </c>
      <c r="G60" s="83">
        <v>7097</v>
      </c>
      <c r="H60" s="17">
        <v>7194</v>
      </c>
      <c r="I60" s="10">
        <f t="shared" si="3"/>
        <v>-1.3483458437586915E-2</v>
      </c>
      <c r="J60" s="44">
        <v>0.14931174089068833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1013</v>
      </c>
      <c r="D61" s="17">
        <v>774</v>
      </c>
      <c r="E61" s="10">
        <f t="shared" si="2"/>
        <v>0.30878552971576223</v>
      </c>
      <c r="F61" s="80">
        <v>1.0155192996418623</v>
      </c>
      <c r="G61" s="83">
        <v>9970</v>
      </c>
      <c r="H61" s="17">
        <v>8662</v>
      </c>
      <c r="I61" s="10">
        <f t="shared" si="3"/>
        <v>0.15100438697760343</v>
      </c>
      <c r="J61" s="44">
        <v>0.81285911702669278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417</v>
      </c>
      <c r="D62" s="17">
        <v>406</v>
      </c>
      <c r="E62" s="10">
        <f t="shared" si="2"/>
        <v>2.7093596059113212E-2</v>
      </c>
      <c r="F62" s="80">
        <v>0.12398921832884091</v>
      </c>
      <c r="G62" s="83">
        <v>8983</v>
      </c>
      <c r="H62" s="17">
        <v>9652</v>
      </c>
      <c r="I62" s="10">
        <f t="shared" si="3"/>
        <v>-6.9312059676750915E-2</v>
      </c>
      <c r="J62" s="44">
        <v>6.6113850291351639E-3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486</v>
      </c>
      <c r="D63" s="17">
        <v>569</v>
      </c>
      <c r="E63" s="10">
        <f t="shared" si="2"/>
        <v>-0.14586994727592262</v>
      </c>
      <c r="F63" s="80">
        <v>0.76214648295866572</v>
      </c>
      <c r="G63" s="83">
        <v>7051</v>
      </c>
      <c r="H63" s="17">
        <v>5680</v>
      </c>
      <c r="I63" s="10">
        <f t="shared" si="3"/>
        <v>0.2413732394366197</v>
      </c>
      <c r="J63" s="44">
        <v>1.3059062070769833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796</v>
      </c>
      <c r="D66" s="17">
        <v>746</v>
      </c>
      <c r="E66" s="10">
        <f t="shared" si="2"/>
        <v>6.7024128686327122E-2</v>
      </c>
      <c r="F66" s="80">
        <v>1.7486187845303864</v>
      </c>
      <c r="G66" s="83">
        <v>8807</v>
      </c>
      <c r="H66" s="17">
        <v>8394</v>
      </c>
      <c r="I66" s="10">
        <f t="shared" si="3"/>
        <v>4.9201810817250502E-2</v>
      </c>
      <c r="J66" s="44">
        <v>1.106635411184997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3140</v>
      </c>
      <c r="D67" s="17">
        <v>2770</v>
      </c>
      <c r="E67" s="10">
        <f t="shared" si="2"/>
        <v>0.13357400722021651</v>
      </c>
      <c r="F67" s="80">
        <v>0.60220430656189405</v>
      </c>
      <c r="G67" s="83">
        <v>31208</v>
      </c>
      <c r="H67" s="17">
        <v>26826</v>
      </c>
      <c r="I67" s="10">
        <f t="shared" si="3"/>
        <v>0.16334898978602852</v>
      </c>
      <c r="J67" s="44">
        <v>0.51919931458836355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2924</v>
      </c>
      <c r="D68" s="17">
        <v>3673</v>
      </c>
      <c r="E68" s="10">
        <f t="shared" si="2"/>
        <v>-0.20392050095289949</v>
      </c>
      <c r="F68" s="80">
        <v>0.41625496464206146</v>
      </c>
      <c r="G68" s="83">
        <v>19599</v>
      </c>
      <c r="H68" s="17">
        <v>21479</v>
      </c>
      <c r="I68" s="10">
        <f t="shared" si="3"/>
        <v>-8.7527352297593009E-2</v>
      </c>
      <c r="J68" s="44">
        <v>0.4298950870383611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1748</v>
      </c>
      <c r="D69" s="17">
        <v>1588</v>
      </c>
      <c r="E69" s="10">
        <f t="shared" si="2"/>
        <v>0.10075566750629728</v>
      </c>
      <c r="F69" s="80">
        <v>0.55654496883348181</v>
      </c>
      <c r="G69" s="83">
        <v>32826</v>
      </c>
      <c r="H69" s="17">
        <v>27495</v>
      </c>
      <c r="I69" s="10">
        <f t="shared" si="3"/>
        <v>0.19388979814511731</v>
      </c>
      <c r="J69" s="44">
        <v>0.20485377026074714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1316</v>
      </c>
      <c r="D70" s="17">
        <v>979</v>
      </c>
      <c r="E70" s="10">
        <f t="shared" si="2"/>
        <v>0.34422880490296226</v>
      </c>
      <c r="F70" s="80">
        <v>2.0406654343807764</v>
      </c>
      <c r="G70" s="83">
        <v>13240</v>
      </c>
      <c r="H70" s="17">
        <v>9870</v>
      </c>
      <c r="I70" s="10">
        <f t="shared" si="3"/>
        <v>0.3414387031408308</v>
      </c>
      <c r="J70" s="44">
        <v>1.485544792370654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241</v>
      </c>
      <c r="D71" s="17">
        <v>422</v>
      </c>
      <c r="E71" s="10">
        <f t="shared" si="2"/>
        <v>-0.42890995260663511</v>
      </c>
      <c r="F71" s="80">
        <v>6.1674008810572722E-2</v>
      </c>
      <c r="G71" s="83">
        <v>4384</v>
      </c>
      <c r="H71" s="17">
        <v>5158</v>
      </c>
      <c r="I71" s="10">
        <f t="shared" si="3"/>
        <v>-0.1500581620783249</v>
      </c>
      <c r="J71" s="44">
        <v>0.41282629713180796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956</v>
      </c>
      <c r="D72" s="17">
        <v>873</v>
      </c>
      <c r="E72" s="10">
        <f t="shared" si="2"/>
        <v>9.5074455899198274E-2</v>
      </c>
      <c r="F72" s="80">
        <v>1.2504708097928434</v>
      </c>
      <c r="G72" s="83">
        <v>21844</v>
      </c>
      <c r="H72" s="17">
        <v>16600</v>
      </c>
      <c r="I72" s="10">
        <f t="shared" si="3"/>
        <v>0.31590361445783133</v>
      </c>
      <c r="J72" s="44">
        <v>0.95622582031809755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 t="s">
        <v>42</v>
      </c>
      <c r="F73" s="81" t="s">
        <v>42</v>
      </c>
      <c r="G73" s="84">
        <v>0</v>
      </c>
      <c r="H73" s="18">
        <v>0</v>
      </c>
      <c r="I73" s="11" t="s">
        <v>42</v>
      </c>
      <c r="J73" s="46" t="s">
        <v>42</v>
      </c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387286</v>
      </c>
      <c r="D74" s="40">
        <v>346319</v>
      </c>
      <c r="E74" s="65">
        <f t="shared" si="2"/>
        <v>0.11829267236276375</v>
      </c>
      <c r="F74" s="82">
        <v>0.20892231277414774</v>
      </c>
      <c r="G74" s="79">
        <v>2910236</v>
      </c>
      <c r="H74" s="40">
        <v>2863747</v>
      </c>
      <c r="I74" s="65">
        <f t="shared" si="3"/>
        <v>1.6233626783371591E-2</v>
      </c>
      <c r="J74" s="66">
        <v>0.13631805954167375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VLOOKUP("&lt;T6Titel3&gt;",Uebersetzungen!$B$4:$E$315,Uebersetzungen!$B$2+1,FALSE)</f>
        <v>Hotel- und Kurbetriebe: Logiernächte im Juni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VLOOKUP("&lt;T6SpaltenTitel_1&gt;",Uebersetzungen!$B$4:$E$315,Uebersetzungen!$B$2+1,FALSE)</f>
        <v>Juni 2025</v>
      </c>
      <c r="D82" s="21" t="str">
        <f>VLOOKUP("&lt;T6SpaltenTitel_2&gt;",Uebersetzungen!$B$4:$E$315,Uebersetzungen!$B$2+1,FALSE)</f>
        <v>Juni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VLOOKUP("&lt;T6SpaltenTitel_5&gt;",Uebersetzungen!$B$4:$E$315,Uebersetzungen!$B$2+1,FALSE)</f>
        <v>Januar-Juni 25</v>
      </c>
      <c r="H82" s="22" t="str">
        <f>VLOOKUP("&lt;T6SpaltenTitel_6&gt;",Uebersetzungen!$B$4:$E$315,Uebersetzungen!$B$2+1,FALSE)</f>
        <v>Januar-Juni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130820</v>
      </c>
      <c r="D83" s="17">
        <v>129853</v>
      </c>
      <c r="E83" s="10">
        <f>C83/D83-1</f>
        <v>7.4468822437678828E-3</v>
      </c>
      <c r="F83" s="80">
        <v>0.35563362037699098</v>
      </c>
      <c r="G83" s="83">
        <v>598698</v>
      </c>
      <c r="H83" s="17">
        <v>576010</v>
      </c>
      <c r="I83" s="10">
        <f>G83/H83-1</f>
        <v>3.9388205065884252E-2</v>
      </c>
      <c r="J83" s="44">
        <v>0.38982699880864957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182458</v>
      </c>
      <c r="D84" s="17">
        <v>175411</v>
      </c>
      <c r="E84" s="10">
        <f t="shared" ref="E84:E96" si="4">C84/D84-1</f>
        <v>4.017421940471233E-2</v>
      </c>
      <c r="F84" s="80">
        <v>0.49097933721540254</v>
      </c>
      <c r="G84" s="83">
        <v>871945</v>
      </c>
      <c r="H84" s="17">
        <v>808331</v>
      </c>
      <c r="I84" s="10">
        <f t="shared" ref="I84:I96" si="5">G84/H84-1</f>
        <v>7.869795912812938E-2</v>
      </c>
      <c r="J84" s="44">
        <v>0.51181387148979596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656849</v>
      </c>
      <c r="D85" s="17">
        <v>658425</v>
      </c>
      <c r="E85" s="10">
        <f t="shared" si="4"/>
        <v>-2.3935907658427791E-3</v>
      </c>
      <c r="F85" s="80">
        <v>0.3888133593540215</v>
      </c>
      <c r="G85" s="83">
        <v>2753081</v>
      </c>
      <c r="H85" s="17">
        <v>2821005</v>
      </c>
      <c r="I85" s="10">
        <f t="shared" si="5"/>
        <v>-2.4077943853343053E-2</v>
      </c>
      <c r="J85" s="44">
        <v>0.29563410976225235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51520</v>
      </c>
      <c r="D86" s="17">
        <v>46997</v>
      </c>
      <c r="E86" s="10">
        <f t="shared" si="4"/>
        <v>9.6240185543758017E-2</v>
      </c>
      <c r="F86" s="80">
        <v>0.22020538860888994</v>
      </c>
      <c r="G86" s="83">
        <v>226546</v>
      </c>
      <c r="H86" s="17">
        <v>222298</v>
      </c>
      <c r="I86" s="10">
        <f t="shared" si="5"/>
        <v>1.9109483666069904E-2</v>
      </c>
      <c r="J86" s="44">
        <v>0.24829599491305587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360597</v>
      </c>
      <c r="D87" s="17">
        <v>379296</v>
      </c>
      <c r="E87" s="10">
        <f t="shared" si="4"/>
        <v>-4.9299228043533261E-2</v>
      </c>
      <c r="F87" s="80">
        <v>0.52792878758731865</v>
      </c>
      <c r="G87" s="83">
        <v>1788285</v>
      </c>
      <c r="H87" s="17">
        <v>1796910</v>
      </c>
      <c r="I87" s="10">
        <f t="shared" si="5"/>
        <v>-4.799906506168905E-3</v>
      </c>
      <c r="J87" s="44">
        <v>0.54145012514097535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387286</v>
      </c>
      <c r="D88" s="62">
        <v>346319</v>
      </c>
      <c r="E88" s="63">
        <f t="shared" si="4"/>
        <v>0.11829267236276375</v>
      </c>
      <c r="F88" s="85">
        <v>0.20892231277414774</v>
      </c>
      <c r="G88" s="87">
        <v>2910236</v>
      </c>
      <c r="H88" s="62">
        <v>2863747</v>
      </c>
      <c r="I88" s="63">
        <f t="shared" si="5"/>
        <v>1.6233626783371591E-2</v>
      </c>
      <c r="J88" s="64">
        <v>0.13631805954167375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68199</v>
      </c>
      <c r="D89" s="17">
        <v>67142</v>
      </c>
      <c r="E89" s="10">
        <f t="shared" si="4"/>
        <v>1.5742754162819006E-2</v>
      </c>
      <c r="F89" s="80">
        <v>0.13283988186399731</v>
      </c>
      <c r="G89" s="83">
        <v>278768</v>
      </c>
      <c r="H89" s="17">
        <v>278588</v>
      </c>
      <c r="I89" s="10">
        <f t="shared" si="5"/>
        <v>6.4611541057035815E-4</v>
      </c>
      <c r="J89" s="44">
        <v>0.1680324606162793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442729</v>
      </c>
      <c r="D90" s="17">
        <v>437134</v>
      </c>
      <c r="E90" s="10">
        <f t="shared" si="4"/>
        <v>1.2799278939638725E-2</v>
      </c>
      <c r="F90" s="80">
        <v>0.39846106708193418</v>
      </c>
      <c r="G90" s="83">
        <v>1897724</v>
      </c>
      <c r="H90" s="17">
        <v>1862487</v>
      </c>
      <c r="I90" s="10">
        <f t="shared" si="5"/>
        <v>1.8919326685233218E-2</v>
      </c>
      <c r="J90" s="44">
        <v>0.34635806130296465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204989</v>
      </c>
      <c r="D91" s="17">
        <v>199331</v>
      </c>
      <c r="E91" s="10">
        <f t="shared" si="4"/>
        <v>2.838494764988897E-2</v>
      </c>
      <c r="F91" s="80">
        <v>0.10337867296792491</v>
      </c>
      <c r="G91" s="83">
        <v>929051</v>
      </c>
      <c r="H91" s="17">
        <v>922865</v>
      </c>
      <c r="I91" s="10">
        <f t="shared" si="5"/>
        <v>6.7030389060154238E-3</v>
      </c>
      <c r="J91" s="44">
        <v>0.15566974786884558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284623</v>
      </c>
      <c r="D92" s="17">
        <v>273097</v>
      </c>
      <c r="E92" s="10">
        <f t="shared" si="4"/>
        <v>4.2204784380641236E-2</v>
      </c>
      <c r="F92" s="80">
        <v>4.765911647437826E-2</v>
      </c>
      <c r="G92" s="83">
        <v>1012641</v>
      </c>
      <c r="H92" s="17">
        <v>1015020</v>
      </c>
      <c r="I92" s="10">
        <f t="shared" si="5"/>
        <v>-2.3437961813560504E-3</v>
      </c>
      <c r="J92" s="44">
        <v>3.0686045141121721E-2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320197</v>
      </c>
      <c r="D93" s="17">
        <v>302739</v>
      </c>
      <c r="E93" s="10">
        <f t="shared" si="4"/>
        <v>5.7666835128609151E-2</v>
      </c>
      <c r="F93" s="80">
        <v>0.40327972596784245</v>
      </c>
      <c r="G93" s="83">
        <v>1411581</v>
      </c>
      <c r="H93" s="17">
        <v>1351465</v>
      </c>
      <c r="I93" s="10">
        <f t="shared" si="5"/>
        <v>4.4482099055469515E-2</v>
      </c>
      <c r="J93" s="44">
        <v>0.33300313140966287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333867</v>
      </c>
      <c r="D94" s="17">
        <v>316370</v>
      </c>
      <c r="E94" s="33">
        <f t="shared" si="4"/>
        <v>5.5305496728514036E-2</v>
      </c>
      <c r="F94" s="80">
        <v>0.36433626387457485</v>
      </c>
      <c r="G94" s="83">
        <v>2276243</v>
      </c>
      <c r="H94" s="17">
        <v>2269661</v>
      </c>
      <c r="I94" s="33">
        <f t="shared" si="5"/>
        <v>2.8999925539541227E-3</v>
      </c>
      <c r="J94" s="44">
        <v>0.19235105688856002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727903</v>
      </c>
      <c r="D95" s="18">
        <v>745602</v>
      </c>
      <c r="E95" s="43">
        <f t="shared" si="4"/>
        <v>-2.3737865510017442E-2</v>
      </c>
      <c r="F95" s="11">
        <v>0.51160351835223228</v>
      </c>
      <c r="G95" s="84">
        <v>3452335</v>
      </c>
      <c r="H95" s="18">
        <v>3343753</v>
      </c>
      <c r="I95" s="43">
        <f t="shared" si="5"/>
        <v>3.2473092360590039E-2</v>
      </c>
      <c r="J95" s="48">
        <v>0.55905335084915464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4152037</v>
      </c>
      <c r="D96" s="40">
        <v>4077716</v>
      </c>
      <c r="E96" s="41">
        <f t="shared" si="4"/>
        <v>1.8226134434080166E-2</v>
      </c>
      <c r="F96" s="86">
        <v>0.34846254555242551</v>
      </c>
      <c r="G96" s="79">
        <v>20407134</v>
      </c>
      <c r="H96" s="40">
        <v>20132140</v>
      </c>
      <c r="I96" s="41">
        <f t="shared" si="5"/>
        <v>1.36594520006319E-2</v>
      </c>
      <c r="J96" s="45">
        <v>0.30379567331024182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VLOOKUP("&lt;T6Aktualisierung&gt;",Uebersetzungen!$B$4:$E$315,Uebersetzungen!$B$2+1,FALSE)</f>
        <v>Letztmals aktualisiert am: 05.08.2025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VLOOKUP("&lt;T6Legende_3&gt;",Uebersetzungen!$B$4:$E$315,Uebersetzungen!$B$2+1,FALSE)</f>
        <v>Daten des Juli 2025 erscheinen am 5. September 2025.</v>
      </c>
    </row>
    <row r="103" spans="1:6" x14ac:dyDescent="0.2">
      <c r="A103" s="4" t="s">
        <v>47</v>
      </c>
    </row>
  </sheetData>
  <sheetProtection sheet="1" objects="1" scenarios="1"/>
  <mergeCells count="1">
    <mergeCell ref="A7:D7"/>
  </mergeCells>
  <hyperlinks>
    <hyperlink ref="E33" r:id="rId1" xr:uid="{00000000-0004-0000-0600-000000000000}"/>
    <hyperlink ref="E76" location="Länder_Pajais_Paesi!A1" display="Länder / Pajais / Paese" xr:uid="{00000000-0004-0000-06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"/>
  <dimension ref="A1:J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3" t="str">
        <f>VLOOKUP("&lt;Fachbereich&gt;",Uebersetzungen!$B$4:$E$315,Uebersetzungen!$B$2+1,FALSE)</f>
        <v>Daten &amp; Statistik</v>
      </c>
      <c r="B7" s="133"/>
      <c r="C7" s="133"/>
      <c r="D7" s="133"/>
      <c r="E7" s="95"/>
      <c r="F7" s="1"/>
    </row>
    <row r="8" spans="1:10" ht="10.5" customHeight="1" x14ac:dyDescent="0.2"/>
    <row r="9" spans="1:10" ht="18" x14ac:dyDescent="0.25">
      <c r="A9" s="2" t="str">
        <f>VLOOKUP("&lt;T5Titel1&gt;",Uebersetzungen!$B$4:$E$315,Uebersetzungen!$B$2+1,FALSE)</f>
        <v>Hotel- und Kurbetriebe: Logiernächte im Mai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VLOOKUP("&lt;T5SpaltenTitel_1&gt;",Uebersetzungen!$B$4:$E$315,Uebersetzungen!$B$2+1,FALSE)</f>
        <v>Mai 2025</v>
      </c>
      <c r="D12" s="21" t="str">
        <f>VLOOKUP("&lt;T5SpaltenTitel_2&gt;",Uebersetzungen!$B$4:$E$315,Uebersetzungen!$B$2+1,FALSE)</f>
        <v>Mai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VLOOKUP("&lt;T5SpaltenTitel_5&gt;",Uebersetzungen!$B$4:$E$315,Uebersetzungen!$B$2+1,FALSE)</f>
        <v>Januar-Mai 25</v>
      </c>
      <c r="H12" s="22" t="str">
        <f>VLOOKUP("&lt;T5SpaltenTitel_6&gt;",Uebersetzungen!$B$4:$E$315,Uebersetzungen!$B$2+1,FALSE)</f>
        <v>Januar-Mai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1015</v>
      </c>
      <c r="D13" s="52">
        <v>1117</v>
      </c>
      <c r="E13" s="53">
        <f t="shared" ref="E13:E31" si="0">C13/D13-1</f>
        <v>-9.1316025067144091E-2</v>
      </c>
      <c r="F13" s="72">
        <v>9.8009519688446511E-2</v>
      </c>
      <c r="G13" s="76">
        <v>229031</v>
      </c>
      <c r="H13" s="52">
        <v>236790</v>
      </c>
      <c r="I13" s="53">
        <f t="shared" ref="I13:I31" si="1">G13/H13-1</f>
        <v>-3.2767431057054819E-2</v>
      </c>
      <c r="J13" s="54">
        <v>0.11596471105298711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3290</v>
      </c>
      <c r="D14" s="52">
        <v>3089</v>
      </c>
      <c r="E14" s="53">
        <f t="shared" si="0"/>
        <v>6.5069601812884459E-2</v>
      </c>
      <c r="F14" s="72">
        <v>0.20902542995737172</v>
      </c>
      <c r="G14" s="76">
        <v>24335</v>
      </c>
      <c r="H14" s="52">
        <v>23634</v>
      </c>
      <c r="I14" s="53">
        <f t="shared" si="1"/>
        <v>2.9660658373529714E-2</v>
      </c>
      <c r="J14" s="54">
        <v>3.0820844311529205E-2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1203</v>
      </c>
      <c r="D15" s="52">
        <v>1341</v>
      </c>
      <c r="E15" s="53">
        <f t="shared" si="0"/>
        <v>-0.1029082774049217</v>
      </c>
      <c r="F15" s="72">
        <v>1.160443995963667E-2</v>
      </c>
      <c r="G15" s="76">
        <v>16186</v>
      </c>
      <c r="H15" s="52">
        <v>17815</v>
      </c>
      <c r="I15" s="53">
        <f t="shared" si="1"/>
        <v>-9.1439797923098531E-2</v>
      </c>
      <c r="J15" s="54">
        <v>-4.4746875036885569E-2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5472</v>
      </c>
      <c r="D16" s="52">
        <v>5158</v>
      </c>
      <c r="E16" s="53">
        <f t="shared" si="0"/>
        <v>6.08763086467623E-2</v>
      </c>
      <c r="F16" s="72">
        <v>0.32046332046332049</v>
      </c>
      <c r="G16" s="76">
        <v>20741</v>
      </c>
      <c r="H16" s="52">
        <v>21573</v>
      </c>
      <c r="I16" s="53">
        <f t="shared" si="1"/>
        <v>-3.8566726927177442E-2</v>
      </c>
      <c r="J16" s="54">
        <v>0.255067833327282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23245</v>
      </c>
      <c r="D17" s="52">
        <v>23061</v>
      </c>
      <c r="E17" s="53">
        <f t="shared" si="0"/>
        <v>7.978838732058513E-3</v>
      </c>
      <c r="F17" s="72">
        <v>0.53875178732192985</v>
      </c>
      <c r="G17" s="76">
        <v>99144</v>
      </c>
      <c r="H17" s="52">
        <v>96967</v>
      </c>
      <c r="I17" s="53">
        <f t="shared" si="1"/>
        <v>2.2450936916682984E-2</v>
      </c>
      <c r="J17" s="54">
        <v>0.47249541813083518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26674</v>
      </c>
      <c r="D18" s="52">
        <v>26114</v>
      </c>
      <c r="E18" s="53">
        <f t="shared" si="0"/>
        <v>2.1444435934747652E-2</v>
      </c>
      <c r="F18" s="72">
        <v>0.1824944364155443</v>
      </c>
      <c r="G18" s="76">
        <v>434123</v>
      </c>
      <c r="H18" s="52">
        <v>447347</v>
      </c>
      <c r="I18" s="53">
        <f t="shared" si="1"/>
        <v>-2.9560944859359783E-2</v>
      </c>
      <c r="J18" s="54">
        <v>6.9182622282053297E-2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3524</v>
      </c>
      <c r="D19" s="52">
        <v>4027</v>
      </c>
      <c r="E19" s="53">
        <f t="shared" si="0"/>
        <v>-0.12490687856965488</v>
      </c>
      <c r="F19" s="72">
        <v>-0.1250806892099906</v>
      </c>
      <c r="G19" s="76">
        <v>59561</v>
      </c>
      <c r="H19" s="52">
        <v>69115</v>
      </c>
      <c r="I19" s="53">
        <f t="shared" si="1"/>
        <v>-0.13823337915069089</v>
      </c>
      <c r="J19" s="54">
        <v>-1.6128872399541527E-2</v>
      </c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>
        <v>13235</v>
      </c>
      <c r="D20" s="52">
        <v>12721</v>
      </c>
      <c r="E20" s="53">
        <f t="shared" si="0"/>
        <v>4.0405628488326295E-2</v>
      </c>
      <c r="F20" s="72">
        <v>-5.1116289558745809E-3</v>
      </c>
      <c r="G20" s="76">
        <v>238164</v>
      </c>
      <c r="H20" s="52">
        <v>233756</v>
      </c>
      <c r="I20" s="53">
        <f t="shared" si="1"/>
        <v>1.8857269973818758E-2</v>
      </c>
      <c r="J20" s="54">
        <v>0.11926220918046537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42808</v>
      </c>
      <c r="D21" s="52">
        <v>39327</v>
      </c>
      <c r="E21" s="53">
        <f t="shared" si="0"/>
        <v>8.8514252294860984E-2</v>
      </c>
      <c r="F21" s="72">
        <v>0.54606261105733811</v>
      </c>
      <c r="G21" s="76">
        <v>771092</v>
      </c>
      <c r="H21" s="52">
        <v>744711</v>
      </c>
      <c r="I21" s="53">
        <f t="shared" si="1"/>
        <v>3.5424480100334277E-2</v>
      </c>
      <c r="J21" s="54">
        <v>0.21390977775035025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20261</v>
      </c>
      <c r="D22" s="52">
        <v>16121</v>
      </c>
      <c r="E22" s="53">
        <f t="shared" si="0"/>
        <v>0.256807890329384</v>
      </c>
      <c r="F22" s="72">
        <v>0.16475998850244333</v>
      </c>
      <c r="G22" s="76">
        <v>252294</v>
      </c>
      <c r="H22" s="52">
        <v>243899</v>
      </c>
      <c r="I22" s="53">
        <f t="shared" si="1"/>
        <v>3.4419985321793023E-2</v>
      </c>
      <c r="J22" s="54">
        <v>2.5823056561886215E-2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9072</v>
      </c>
      <c r="D23" s="52">
        <v>9871</v>
      </c>
      <c r="E23" s="53">
        <f t="shared" si="0"/>
        <v>-8.0944179920980686E-2</v>
      </c>
      <c r="F23" s="72">
        <v>0.18217357310398752</v>
      </c>
      <c r="G23" s="76">
        <v>149849</v>
      </c>
      <c r="H23" s="52">
        <v>155751</v>
      </c>
      <c r="I23" s="53">
        <f t="shared" si="1"/>
        <v>-3.7893817696194598E-2</v>
      </c>
      <c r="J23" s="54">
        <v>1.5487559262582495E-2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5253</v>
      </c>
      <c r="D24" s="52">
        <v>5025</v>
      </c>
      <c r="E24" s="53">
        <f t="shared" si="0"/>
        <v>4.53731343283581E-2</v>
      </c>
      <c r="F24" s="72">
        <v>0.18803148181653695</v>
      </c>
      <c r="G24" s="76">
        <v>38985</v>
      </c>
      <c r="H24" s="52">
        <v>40622</v>
      </c>
      <c r="I24" s="53">
        <f t="shared" si="1"/>
        <v>-4.0298360494313457E-2</v>
      </c>
      <c r="J24" s="54">
        <v>0.14336242697261903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1421</v>
      </c>
      <c r="D25" s="52">
        <v>1256</v>
      </c>
      <c r="E25" s="53">
        <f t="shared" si="0"/>
        <v>0.13136942675159236</v>
      </c>
      <c r="F25" s="72">
        <v>0.21744345442083612</v>
      </c>
      <c r="G25" s="76">
        <v>13427</v>
      </c>
      <c r="H25" s="52">
        <v>9516</v>
      </c>
      <c r="I25" s="53">
        <f t="shared" si="1"/>
        <v>0.41099201345102987</v>
      </c>
      <c r="J25" s="54">
        <v>0.58790416045791072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4282</v>
      </c>
      <c r="D26" s="52">
        <v>4162</v>
      </c>
      <c r="E26" s="53">
        <f t="shared" si="0"/>
        <v>2.8832292167227269E-2</v>
      </c>
      <c r="F26" s="72">
        <v>0.67409492532645232</v>
      </c>
      <c r="G26" s="76">
        <v>46195</v>
      </c>
      <c r="H26" s="52">
        <v>45309</v>
      </c>
      <c r="I26" s="53">
        <f t="shared" si="1"/>
        <v>1.9554613873623339E-2</v>
      </c>
      <c r="J26" s="54">
        <v>0.24502743669077942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4236</v>
      </c>
      <c r="D27" s="52">
        <v>4458</v>
      </c>
      <c r="E27" s="53">
        <f t="shared" si="0"/>
        <v>-4.9798115746971683E-2</v>
      </c>
      <c r="F27" s="72">
        <v>-5.5097033236671922E-2</v>
      </c>
      <c r="G27" s="77">
        <v>47455</v>
      </c>
      <c r="H27" s="52">
        <v>46526</v>
      </c>
      <c r="I27" s="53">
        <f t="shared" si="1"/>
        <v>1.9967330095000735E-2</v>
      </c>
      <c r="J27" s="54">
        <v>8.0465288192335116E-3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6316</v>
      </c>
      <c r="D28" s="52">
        <v>6183</v>
      </c>
      <c r="E28" s="53">
        <f t="shared" si="0"/>
        <v>2.1510593562995339E-2</v>
      </c>
      <c r="F28" s="72">
        <v>0.1207324863368584</v>
      </c>
      <c r="G28" s="76">
        <v>20672</v>
      </c>
      <c r="H28" s="52">
        <v>18882</v>
      </c>
      <c r="I28" s="53">
        <f t="shared" si="1"/>
        <v>9.4799279737316056E-2</v>
      </c>
      <c r="J28" s="54">
        <v>0.33398724865129958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2946</v>
      </c>
      <c r="D29" s="55">
        <v>3843</v>
      </c>
      <c r="E29" s="53">
        <f t="shared" si="0"/>
        <v>-0.23341139734582361</v>
      </c>
      <c r="F29" s="72">
        <v>-0.21027235685181211</v>
      </c>
      <c r="G29" s="77">
        <v>28615</v>
      </c>
      <c r="H29" s="55">
        <v>29688</v>
      </c>
      <c r="I29" s="53">
        <f t="shared" si="1"/>
        <v>-3.6142549178119099E-2</v>
      </c>
      <c r="J29" s="54">
        <v>-4.3718586247460167E-2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5107</v>
      </c>
      <c r="D30" s="57">
        <v>5448</v>
      </c>
      <c r="E30" s="53">
        <f t="shared" si="0"/>
        <v>-6.2591776798825216E-2</v>
      </c>
      <c r="F30" s="73">
        <v>0.10388206813072798</v>
      </c>
      <c r="G30" s="78">
        <v>33081</v>
      </c>
      <c r="H30" s="57">
        <v>35527</v>
      </c>
      <c r="I30" s="53">
        <f t="shared" si="1"/>
        <v>-6.8849044388774705E-2</v>
      </c>
      <c r="J30" s="58">
        <v>7.1074733372617827E-2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179360</v>
      </c>
      <c r="D31" s="19">
        <v>172322</v>
      </c>
      <c r="E31" s="12">
        <f t="shared" si="0"/>
        <v>4.0842144357656096E-2</v>
      </c>
      <c r="F31" s="74">
        <v>0.25117890965506096</v>
      </c>
      <c r="G31" s="79">
        <v>2522950</v>
      </c>
      <c r="H31" s="19">
        <v>2517428</v>
      </c>
      <c r="I31" s="12">
        <f t="shared" si="1"/>
        <v>2.1935086127586878E-3</v>
      </c>
      <c r="J31" s="47">
        <v>0.12593796552410486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VLOOKUP("&lt;T5Titel2&gt;",Uebersetzungen!$B$4:$E$315,Uebersetzungen!$B$2+1,FALSE)</f>
        <v>Hotel- und Kurbetriebe: Logiernächte im Mai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VLOOKUP("&lt;T5SpaltenTitel_1&gt;",Uebersetzungen!$B$4:$E$315,Uebersetzungen!$B$2+1,FALSE)</f>
        <v>Mai 2025</v>
      </c>
      <c r="D39" s="21" t="str">
        <f>VLOOKUP("&lt;T5SpaltenTitel_2&gt;",Uebersetzungen!$B$4:$E$315,Uebersetzungen!$B$2+1,FALSE)</f>
        <v>Mai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VLOOKUP("&lt;T5SpaltenTitel_5&gt;",Uebersetzungen!$B$4:$E$315,Uebersetzungen!$B$2+1,FALSE)</f>
        <v>Januar-Mai 25</v>
      </c>
      <c r="H39" s="22" t="str">
        <f>VLOOKUP("&lt;T5SpaltenTitel_6&gt;",Uebersetzungen!$B$4:$E$315,Uebersetzungen!$B$2+1,FALSE)</f>
        <v>Januar-Mai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106841</v>
      </c>
      <c r="D40" s="17">
        <v>102198</v>
      </c>
      <c r="E40" s="10">
        <f>C40/D40-1</f>
        <v>4.5431417444568467E-2</v>
      </c>
      <c r="F40" s="80">
        <v>2.8997343740067905E-2</v>
      </c>
      <c r="G40" s="83">
        <v>1556032</v>
      </c>
      <c r="H40" s="17">
        <v>1567384</v>
      </c>
      <c r="I40" s="10">
        <f>G40/H40-1</f>
        <v>-7.2426412417122554E-3</v>
      </c>
      <c r="J40" s="44">
        <v>2.982268088834017E-2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21926</v>
      </c>
      <c r="D41" s="17">
        <v>23249</v>
      </c>
      <c r="E41" s="10">
        <f t="shared" ref="E41:E74" si="2">C41/D41-1</f>
        <v>-5.6905673362295128E-2</v>
      </c>
      <c r="F41" s="80">
        <v>0.55373517198373001</v>
      </c>
      <c r="G41" s="83">
        <v>355697</v>
      </c>
      <c r="H41" s="17">
        <v>393084</v>
      </c>
      <c r="I41" s="10">
        <f t="shared" ref="I41:I74" si="3">G41/H41-1</f>
        <v>-9.5111986242126356E-2</v>
      </c>
      <c r="J41" s="44">
        <v>0.14880677469051062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8349</v>
      </c>
      <c r="D42" s="17">
        <v>7596</v>
      </c>
      <c r="E42" s="10">
        <f t="shared" si="2"/>
        <v>9.9131121642969999E-2</v>
      </c>
      <c r="F42" s="80">
        <v>1.0598539425639002</v>
      </c>
      <c r="G42" s="83">
        <v>73790</v>
      </c>
      <c r="H42" s="17">
        <v>60596</v>
      </c>
      <c r="I42" s="10">
        <f t="shared" si="3"/>
        <v>0.21773714436596481</v>
      </c>
      <c r="J42" s="44">
        <v>1.0838157634633308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7194</v>
      </c>
      <c r="D43" s="17">
        <v>7092</v>
      </c>
      <c r="E43" s="10">
        <f t="shared" si="2"/>
        <v>1.4382402707275865E-2</v>
      </c>
      <c r="F43" s="80">
        <v>1.031055900621118</v>
      </c>
      <c r="G43" s="83">
        <v>95257</v>
      </c>
      <c r="H43" s="17">
        <v>87548</v>
      </c>
      <c r="I43" s="10">
        <f t="shared" si="3"/>
        <v>8.8054552930963537E-2</v>
      </c>
      <c r="J43" s="44">
        <v>0.47591453494677793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803</v>
      </c>
      <c r="D44" s="17">
        <v>1423</v>
      </c>
      <c r="E44" s="10">
        <f t="shared" si="2"/>
        <v>-0.43569922698524244</v>
      </c>
      <c r="F44" s="80">
        <v>-8.0815018315018361E-2</v>
      </c>
      <c r="G44" s="83">
        <v>26570</v>
      </c>
      <c r="H44" s="17">
        <v>29493</v>
      </c>
      <c r="I44" s="10">
        <f t="shared" si="3"/>
        <v>-9.9108262977655737E-2</v>
      </c>
      <c r="J44" s="44">
        <v>5.0371998513587313E-2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3896</v>
      </c>
      <c r="D45" s="17">
        <v>3192</v>
      </c>
      <c r="E45" s="10">
        <f t="shared" si="2"/>
        <v>0.22055137844611528</v>
      </c>
      <c r="F45" s="80">
        <v>0.97766497461928936</v>
      </c>
      <c r="G45" s="83">
        <v>45695</v>
      </c>
      <c r="H45" s="17">
        <v>43758</v>
      </c>
      <c r="I45" s="10">
        <f t="shared" si="3"/>
        <v>4.4266191325014859E-2</v>
      </c>
      <c r="J45" s="44">
        <v>0.30154037210468143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2339</v>
      </c>
      <c r="D46" s="17">
        <v>2101</v>
      </c>
      <c r="E46" s="10">
        <f t="shared" si="2"/>
        <v>0.11327939076630167</v>
      </c>
      <c r="F46" s="80">
        <v>0.76875378100423464</v>
      </c>
      <c r="G46" s="83">
        <v>19832</v>
      </c>
      <c r="H46" s="17">
        <v>18123</v>
      </c>
      <c r="I46" s="10">
        <f t="shared" si="3"/>
        <v>9.4300060696352661E-2</v>
      </c>
      <c r="J46" s="44">
        <v>0.33433807896224144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3116</v>
      </c>
      <c r="D47" s="17">
        <v>2393</v>
      </c>
      <c r="E47" s="10">
        <f t="shared" si="2"/>
        <v>0.30213121604680326</v>
      </c>
      <c r="F47" s="80">
        <v>0.90208765718471495</v>
      </c>
      <c r="G47" s="83">
        <v>46602</v>
      </c>
      <c r="H47" s="17">
        <v>46476</v>
      </c>
      <c r="I47" s="10">
        <f t="shared" si="3"/>
        <v>2.7110766847404655E-3</v>
      </c>
      <c r="J47" s="44">
        <v>0.3445470282746681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1780</v>
      </c>
      <c r="D48" s="17">
        <v>1637</v>
      </c>
      <c r="E48" s="10">
        <f t="shared" si="2"/>
        <v>8.7354917532070919E-2</v>
      </c>
      <c r="F48" s="80">
        <v>0.51489361702127656</v>
      </c>
      <c r="G48" s="83">
        <v>31996</v>
      </c>
      <c r="H48" s="17">
        <v>31692</v>
      </c>
      <c r="I48" s="10">
        <f t="shared" si="3"/>
        <v>9.5923261390886694E-3</v>
      </c>
      <c r="J48" s="44">
        <v>0.33580488130724828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1852</v>
      </c>
      <c r="D49" s="17">
        <v>1763</v>
      </c>
      <c r="E49" s="10">
        <f t="shared" si="2"/>
        <v>5.0482132728304041E-2</v>
      </c>
      <c r="F49" s="80">
        <v>1.0427972645047427</v>
      </c>
      <c r="G49" s="83">
        <v>12835</v>
      </c>
      <c r="H49" s="17">
        <v>12172</v>
      </c>
      <c r="I49" s="10">
        <f t="shared" si="3"/>
        <v>5.4469273743016799E-2</v>
      </c>
      <c r="J49" s="44">
        <v>0.94134373960129492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2461</v>
      </c>
      <c r="D50" s="17">
        <v>2590</v>
      </c>
      <c r="E50" s="10">
        <f t="shared" si="2"/>
        <v>-4.9806949806949774E-2</v>
      </c>
      <c r="F50" s="80">
        <v>2.1804083742569143</v>
      </c>
      <c r="G50" s="83">
        <v>3675</v>
      </c>
      <c r="H50" s="17">
        <v>4353</v>
      </c>
      <c r="I50" s="10">
        <f t="shared" si="3"/>
        <v>-0.1557546519641626</v>
      </c>
      <c r="J50" s="44">
        <v>1.6037976477256626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1348</v>
      </c>
      <c r="D51" s="17">
        <v>1048</v>
      </c>
      <c r="E51" s="10">
        <f t="shared" si="2"/>
        <v>0.28625954198473291</v>
      </c>
      <c r="F51" s="80">
        <v>2.5399159663865545</v>
      </c>
      <c r="G51" s="83">
        <v>12621</v>
      </c>
      <c r="H51" s="17">
        <v>10400</v>
      </c>
      <c r="I51" s="10">
        <f t="shared" si="3"/>
        <v>0.21355769230769228</v>
      </c>
      <c r="J51" s="44">
        <v>1.0405820533548913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957</v>
      </c>
      <c r="D52" s="17">
        <v>804</v>
      </c>
      <c r="E52" s="10">
        <f t="shared" si="2"/>
        <v>0.19029850746268662</v>
      </c>
      <c r="F52" s="80">
        <v>1.6378169790518191</v>
      </c>
      <c r="G52" s="83">
        <v>10013</v>
      </c>
      <c r="H52" s="17">
        <v>6967</v>
      </c>
      <c r="I52" s="10">
        <f t="shared" si="3"/>
        <v>0.43720396153294105</v>
      </c>
      <c r="J52" s="44">
        <v>1.1959296460371069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969</v>
      </c>
      <c r="D53" s="17">
        <v>978</v>
      </c>
      <c r="E53" s="10">
        <f t="shared" si="2"/>
        <v>-9.2024539877300082E-3</v>
      </c>
      <c r="F53" s="80">
        <v>1.5486586007364544</v>
      </c>
      <c r="G53" s="83">
        <v>4081</v>
      </c>
      <c r="H53" s="17">
        <v>3612</v>
      </c>
      <c r="I53" s="10">
        <f t="shared" si="3"/>
        <v>0.12984496124031009</v>
      </c>
      <c r="J53" s="44">
        <v>1.1010090609555188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965</v>
      </c>
      <c r="D54" s="17">
        <v>1244</v>
      </c>
      <c r="E54" s="10">
        <f t="shared" si="2"/>
        <v>-0.22427652733118975</v>
      </c>
      <c r="F54" s="80">
        <v>1.5733333333333333</v>
      </c>
      <c r="G54" s="83">
        <v>5535</v>
      </c>
      <c r="H54" s="17">
        <v>5102</v>
      </c>
      <c r="I54" s="10">
        <f t="shared" si="3"/>
        <v>8.4868678949431509E-2</v>
      </c>
      <c r="J54" s="44">
        <v>0.98515171078114916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1066</v>
      </c>
      <c r="D55" s="17">
        <v>1310</v>
      </c>
      <c r="E55" s="10">
        <f t="shared" si="2"/>
        <v>-0.18625954198473282</v>
      </c>
      <c r="F55" s="80">
        <v>0.79280188361923987</v>
      </c>
      <c r="G55" s="83">
        <v>19076</v>
      </c>
      <c r="H55" s="17">
        <v>18978</v>
      </c>
      <c r="I55" s="10">
        <f t="shared" si="3"/>
        <v>5.1638739593213856E-3</v>
      </c>
      <c r="J55" s="44">
        <v>-0.38089859926523095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1352</v>
      </c>
      <c r="D56" s="17">
        <v>1106</v>
      </c>
      <c r="E56" s="10">
        <f t="shared" si="2"/>
        <v>0.22242314647377937</v>
      </c>
      <c r="F56" s="80">
        <v>1.8876548483554036</v>
      </c>
      <c r="G56" s="83">
        <v>24811</v>
      </c>
      <c r="H56" s="17">
        <v>19877</v>
      </c>
      <c r="I56" s="10">
        <f t="shared" si="3"/>
        <v>0.2482265935503345</v>
      </c>
      <c r="J56" s="44">
        <v>0.99470993053768941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2668</v>
      </c>
      <c r="D57" s="17">
        <v>1557</v>
      </c>
      <c r="E57" s="10">
        <f t="shared" si="2"/>
        <v>0.71355170199100826</v>
      </c>
      <c r="F57" s="80">
        <v>2.4821195510310621</v>
      </c>
      <c r="G57" s="83">
        <v>7396</v>
      </c>
      <c r="H57" s="17">
        <v>5277</v>
      </c>
      <c r="I57" s="10">
        <f t="shared" si="3"/>
        <v>0.40155391320826217</v>
      </c>
      <c r="J57" s="44">
        <v>1.6744774716135096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579</v>
      </c>
      <c r="D58" s="17">
        <v>347</v>
      </c>
      <c r="E58" s="10">
        <f t="shared" si="2"/>
        <v>0.66858789625360227</v>
      </c>
      <c r="F58" s="80">
        <v>0.64863325740318922</v>
      </c>
      <c r="G58" s="83">
        <v>10949</v>
      </c>
      <c r="H58" s="17">
        <v>10411</v>
      </c>
      <c r="I58" s="10">
        <f t="shared" si="3"/>
        <v>5.16761118048219E-2</v>
      </c>
      <c r="J58" s="44">
        <v>0.28793582082529534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589</v>
      </c>
      <c r="D59" s="17">
        <v>528</v>
      </c>
      <c r="E59" s="10">
        <f t="shared" si="2"/>
        <v>0.11553030303030298</v>
      </c>
      <c r="F59" s="80">
        <v>0.49568308786185877</v>
      </c>
      <c r="G59" s="83">
        <v>9550</v>
      </c>
      <c r="H59" s="17">
        <v>9136</v>
      </c>
      <c r="I59" s="10">
        <f t="shared" si="3"/>
        <v>4.5315236427320382E-2</v>
      </c>
      <c r="J59" s="44">
        <v>0.25830083271845683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568</v>
      </c>
      <c r="D60" s="17">
        <v>736</v>
      </c>
      <c r="E60" s="10">
        <f t="shared" si="2"/>
        <v>-0.22826086956521741</v>
      </c>
      <c r="F60" s="80">
        <v>0.55191256830601088</v>
      </c>
      <c r="G60" s="83">
        <v>6062</v>
      </c>
      <c r="H60" s="17">
        <v>5973</v>
      </c>
      <c r="I60" s="10">
        <f t="shared" si="3"/>
        <v>1.4900385066130895E-2</v>
      </c>
      <c r="J60" s="44">
        <v>7.4365518219197568E-2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480</v>
      </c>
      <c r="D61" s="17">
        <v>546</v>
      </c>
      <c r="E61" s="10">
        <f t="shared" si="2"/>
        <v>-0.12087912087912089</v>
      </c>
      <c r="F61" s="80">
        <v>1.0236087689713322</v>
      </c>
      <c r="G61" s="83">
        <v>8957</v>
      </c>
      <c r="H61" s="17">
        <v>7888</v>
      </c>
      <c r="I61" s="10">
        <f t="shared" si="3"/>
        <v>0.13552231237322521</v>
      </c>
      <c r="J61" s="44">
        <v>0.79247548529117462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216</v>
      </c>
      <c r="D62" s="17">
        <v>131</v>
      </c>
      <c r="E62" s="10">
        <f t="shared" si="2"/>
        <v>0.64885496183206115</v>
      </c>
      <c r="F62" s="80">
        <v>1.6732673267326734</v>
      </c>
      <c r="G62" s="83">
        <v>8566</v>
      </c>
      <c r="H62" s="17">
        <v>9246</v>
      </c>
      <c r="I62" s="10">
        <f t="shared" si="3"/>
        <v>-7.3545316893791957E-2</v>
      </c>
      <c r="J62" s="44">
        <v>1.5199345258976038E-3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173</v>
      </c>
      <c r="D63" s="17">
        <v>176</v>
      </c>
      <c r="E63" s="10">
        <f t="shared" si="2"/>
        <v>-1.7045454545454586E-2</v>
      </c>
      <c r="F63" s="80">
        <v>0.4065040650406504</v>
      </c>
      <c r="G63" s="83">
        <v>6565</v>
      </c>
      <c r="H63" s="17">
        <v>5111</v>
      </c>
      <c r="I63" s="10">
        <f t="shared" si="3"/>
        <v>0.2844844453140285</v>
      </c>
      <c r="J63" s="44">
        <v>1.3598130841121496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0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0" x14ac:dyDescent="0.2">
      <c r="A66" s="24" t="str">
        <f>VLOOKUP("&lt;Zeilentitel_44.1&gt;",Uebersetzungen!$B$4:$E$88,Uebersetzungen!$B$2+1,FALSE)</f>
        <v>übrige Golfstaaten</v>
      </c>
      <c r="B66" s="5"/>
      <c r="C66" s="13">
        <v>187</v>
      </c>
      <c r="D66" s="17">
        <v>155</v>
      </c>
      <c r="E66" s="10">
        <f t="shared" si="2"/>
        <v>0.20645161290322589</v>
      </c>
      <c r="F66" s="80">
        <v>-9.486931268151011E-2</v>
      </c>
      <c r="G66" s="83">
        <v>8011</v>
      </c>
      <c r="H66" s="17">
        <v>7648</v>
      </c>
      <c r="I66" s="10">
        <f t="shared" si="3"/>
        <v>4.7463389121338961E-2</v>
      </c>
      <c r="J66" s="44">
        <v>1.0588537650989465</v>
      </c>
    </row>
    <row r="67" spans="1:10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1694</v>
      </c>
      <c r="D67" s="17">
        <v>1506</v>
      </c>
      <c r="E67" s="10">
        <f t="shared" si="2"/>
        <v>0.12483399734395739</v>
      </c>
      <c r="F67" s="80">
        <v>0.63229909423781083</v>
      </c>
      <c r="G67" s="83">
        <v>28068</v>
      </c>
      <c r="H67" s="17">
        <v>24056</v>
      </c>
      <c r="I67" s="10">
        <f t="shared" si="3"/>
        <v>0.16677751912204863</v>
      </c>
      <c r="J67" s="44">
        <v>0.51044525523877149</v>
      </c>
    </row>
    <row r="68" spans="1:10" x14ac:dyDescent="0.2">
      <c r="A68" s="24" t="str">
        <f>VLOOKUP("&lt;Zeilentitel_44.3&gt;",Uebersetzungen!$B$4:$E$88,Uebersetzungen!$B$2+1,FALSE)</f>
        <v>übriges Südostasien</v>
      </c>
      <c r="B68" s="5"/>
      <c r="C68" s="13">
        <v>2032</v>
      </c>
      <c r="D68" s="17">
        <v>2691</v>
      </c>
      <c r="E68" s="10">
        <f t="shared" si="2"/>
        <v>-0.24489037532515789</v>
      </c>
      <c r="F68" s="80">
        <v>0.26604361370716512</v>
      </c>
      <c r="G68" s="83">
        <v>16675</v>
      </c>
      <c r="H68" s="17">
        <v>17806</v>
      </c>
      <c r="I68" s="10">
        <f t="shared" si="3"/>
        <v>-6.3517915309446282E-2</v>
      </c>
      <c r="J68" s="44">
        <v>0.4323140353891084</v>
      </c>
    </row>
    <row r="69" spans="1:10" x14ac:dyDescent="0.2">
      <c r="A69" s="24" t="str">
        <f>VLOOKUP("&lt;Zeilentitel_44.4&gt;",Uebersetzungen!$B$4:$E$88,Uebersetzungen!$B$2+1,FALSE)</f>
        <v>übriges Osteuropa</v>
      </c>
      <c r="B69" s="5"/>
      <c r="C69" s="13">
        <v>832</v>
      </c>
      <c r="D69" s="17">
        <v>798</v>
      </c>
      <c r="E69" s="10">
        <f t="shared" si="2"/>
        <v>4.2606516290726759E-2</v>
      </c>
      <c r="F69" s="80">
        <v>0.28633271490414347</v>
      </c>
      <c r="G69" s="83">
        <v>31078</v>
      </c>
      <c r="H69" s="17">
        <v>25907</v>
      </c>
      <c r="I69" s="10">
        <f t="shared" si="3"/>
        <v>0.19959856409464627</v>
      </c>
      <c r="J69" s="44">
        <v>0.18973424496014824</v>
      </c>
    </row>
    <row r="70" spans="1:10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1262</v>
      </c>
      <c r="D70" s="17">
        <v>729</v>
      </c>
      <c r="E70" s="10">
        <f t="shared" si="2"/>
        <v>0.73113854595336081</v>
      </c>
      <c r="F70" s="80">
        <v>2.3510355815188526</v>
      </c>
      <c r="G70" s="83">
        <v>11924</v>
      </c>
      <c r="H70" s="17">
        <v>8891</v>
      </c>
      <c r="I70" s="10">
        <f t="shared" si="3"/>
        <v>0.34113148127319759</v>
      </c>
      <c r="J70" s="44">
        <v>1.4364527993461382</v>
      </c>
    </row>
    <row r="71" spans="1:10" x14ac:dyDescent="0.2">
      <c r="A71" s="24" t="str">
        <f>VLOOKUP("&lt;Zeilentitel_44.6&gt;",Uebersetzungen!$B$4:$E$88,Uebersetzungen!$B$2+1,FALSE)</f>
        <v>Afrikanischer Kontinent</v>
      </c>
      <c r="B71" s="5"/>
      <c r="C71" s="13">
        <v>246</v>
      </c>
      <c r="D71" s="17">
        <v>120</v>
      </c>
      <c r="E71" s="10">
        <f t="shared" si="2"/>
        <v>1.0499999999999998</v>
      </c>
      <c r="F71" s="80">
        <v>0.4419695193434936</v>
      </c>
      <c r="G71" s="83">
        <v>4143</v>
      </c>
      <c r="H71" s="17">
        <v>4736</v>
      </c>
      <c r="I71" s="10">
        <f t="shared" si="3"/>
        <v>-0.12521114864864868</v>
      </c>
      <c r="J71" s="44">
        <v>0.44054242002781652</v>
      </c>
    </row>
    <row r="72" spans="1:10" x14ac:dyDescent="0.2">
      <c r="A72" s="24" t="str">
        <f>VLOOKUP("&lt;Zeilentitel_44.7&gt;",Uebersetzungen!$B$4:$E$88,Uebersetzungen!$B$2+1,FALSE)</f>
        <v>Südosteuropa</v>
      </c>
      <c r="B72" s="5"/>
      <c r="C72" s="13">
        <v>620</v>
      </c>
      <c r="D72" s="17">
        <v>578</v>
      </c>
      <c r="E72" s="10">
        <f t="shared" si="2"/>
        <v>7.2664359861591699E-2</v>
      </c>
      <c r="F72" s="80">
        <v>1.663230240549828</v>
      </c>
      <c r="G72" s="83">
        <v>20888</v>
      </c>
      <c r="H72" s="17">
        <v>15727</v>
      </c>
      <c r="I72" s="10">
        <f t="shared" si="3"/>
        <v>0.32816176003052067</v>
      </c>
      <c r="J72" s="44">
        <v>0.94458926044537161</v>
      </c>
    </row>
    <row r="73" spans="1:10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1"/>
      <c r="F73" s="81"/>
      <c r="G73" s="84">
        <v>0</v>
      </c>
      <c r="H73" s="18">
        <v>0</v>
      </c>
      <c r="I73" s="11"/>
      <c r="J73" s="46"/>
    </row>
    <row r="74" spans="1:10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179360</v>
      </c>
      <c r="D74" s="40">
        <v>172322</v>
      </c>
      <c r="E74" s="65">
        <f t="shared" si="2"/>
        <v>4.0842144357656096E-2</v>
      </c>
      <c r="F74" s="82">
        <v>0.25117890965506096</v>
      </c>
      <c r="G74" s="79">
        <v>2522950</v>
      </c>
      <c r="H74" s="40">
        <v>2517428</v>
      </c>
      <c r="I74" s="65">
        <f t="shared" si="3"/>
        <v>2.1935086127586878E-3</v>
      </c>
      <c r="J74" s="66">
        <v>0.12593796552410486</v>
      </c>
    </row>
    <row r="76" spans="1:10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0" ht="10.5" customHeight="1" x14ac:dyDescent="0.2"/>
    <row r="79" spans="1:10" ht="18" x14ac:dyDescent="0.25">
      <c r="A79" s="2" t="str">
        <f>VLOOKUP("&lt;T5Titel3&gt;",Uebersetzungen!$B$4:$E$315,Uebersetzungen!$B$2+1,FALSE)</f>
        <v>Hotel- und Kurbetriebe: Logiernächte im Mai 2025, nach Schweizer Tourismusregionen</v>
      </c>
      <c r="B79" s="3"/>
      <c r="C79" s="3"/>
      <c r="D79" s="3"/>
      <c r="E79" s="3"/>
      <c r="F79" s="3"/>
    </row>
    <row r="80" spans="1:10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VLOOKUP("&lt;T5SpaltenTitel_1&gt;",Uebersetzungen!$B$4:$E$315,Uebersetzungen!$B$2+1,FALSE)</f>
        <v>Mai 2025</v>
      </c>
      <c r="D82" s="21" t="str">
        <f>VLOOKUP("&lt;T5SpaltenTitel_2&gt;",Uebersetzungen!$B$4:$E$315,Uebersetzungen!$B$2+1,FALSE)</f>
        <v>Mai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VLOOKUP("&lt;T5SpaltenTitel_5&gt;",Uebersetzungen!$B$4:$E$315,Uebersetzungen!$B$2+1,FALSE)</f>
        <v>Januar-Mai 25</v>
      </c>
      <c r="H82" s="22" t="str">
        <f>VLOOKUP("&lt;T5SpaltenTitel_6&gt;",Uebersetzungen!$B$4:$E$315,Uebersetzungen!$B$2+1,FALSE)</f>
        <v>Januar-Mai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128425</v>
      </c>
      <c r="D83" s="17">
        <v>121230</v>
      </c>
      <c r="E83" s="10">
        <f>C83/D83-1</f>
        <v>5.9349995875608297E-2</v>
      </c>
      <c r="F83" s="80">
        <v>0.48928940862135351</v>
      </c>
      <c r="G83" s="83">
        <v>467878</v>
      </c>
      <c r="H83" s="17">
        <v>446157</v>
      </c>
      <c r="I83" s="10">
        <f>G83/H83-1</f>
        <v>4.8684655849846603E-2</v>
      </c>
      <c r="J83" s="44">
        <v>0.39969832824065299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178364</v>
      </c>
      <c r="D84" s="17">
        <v>165797</v>
      </c>
      <c r="E84" s="10">
        <f t="shared" ref="E84:E96" si="4">C84/D84-1</f>
        <v>7.5797511414561258E-2</v>
      </c>
      <c r="F84" s="80">
        <v>0.57836146463278881</v>
      </c>
      <c r="G84" s="83">
        <v>689487</v>
      </c>
      <c r="H84" s="17">
        <v>632920</v>
      </c>
      <c r="I84" s="10">
        <f t="shared" ref="I84:I96" si="5">G84/H84-1</f>
        <v>8.9374644504834677E-2</v>
      </c>
      <c r="J84" s="44">
        <v>0.51742507806248361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528147</v>
      </c>
      <c r="D85" s="17">
        <v>540960</v>
      </c>
      <c r="E85" s="10">
        <f t="shared" si="4"/>
        <v>-2.3685669920141983E-2</v>
      </c>
      <c r="F85" s="80">
        <v>0.47221958956576038</v>
      </c>
      <c r="G85" s="83">
        <v>2096232</v>
      </c>
      <c r="H85" s="17">
        <v>2162580</v>
      </c>
      <c r="I85" s="10">
        <f t="shared" si="5"/>
        <v>-3.0680021085925158E-2</v>
      </c>
      <c r="J85" s="44">
        <v>0.26895641944005266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48058</v>
      </c>
      <c r="D86" s="17">
        <v>42546</v>
      </c>
      <c r="E86" s="10">
        <f t="shared" si="4"/>
        <v>0.12955389460818889</v>
      </c>
      <c r="F86" s="80">
        <v>0.29646115580302479</v>
      </c>
      <c r="G86" s="83">
        <v>175026</v>
      </c>
      <c r="H86" s="17">
        <v>175301</v>
      </c>
      <c r="I86" s="10">
        <f t="shared" si="5"/>
        <v>-1.5687303552176513E-3</v>
      </c>
      <c r="J86" s="44">
        <v>0.25681270815112267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328399</v>
      </c>
      <c r="D87" s="17">
        <v>350330</v>
      </c>
      <c r="E87" s="10">
        <f t="shared" si="4"/>
        <v>-6.2600976222418891E-2</v>
      </c>
      <c r="F87" s="80">
        <v>0.53744274366013611</v>
      </c>
      <c r="G87" s="83">
        <v>1427688</v>
      </c>
      <c r="H87" s="17">
        <v>1417614</v>
      </c>
      <c r="I87" s="10">
        <f t="shared" si="5"/>
        <v>7.1063067943741842E-3</v>
      </c>
      <c r="J87" s="44">
        <v>0.54490320494632871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179360</v>
      </c>
      <c r="D88" s="62">
        <v>172322</v>
      </c>
      <c r="E88" s="63">
        <f t="shared" si="4"/>
        <v>4.0842144357656096E-2</v>
      </c>
      <c r="F88" s="85">
        <v>0.25117890965506096</v>
      </c>
      <c r="G88" s="87">
        <v>2522950</v>
      </c>
      <c r="H88" s="62">
        <v>2517428</v>
      </c>
      <c r="I88" s="63">
        <f t="shared" si="5"/>
        <v>2.1935086127586878E-3</v>
      </c>
      <c r="J88" s="64">
        <v>0.12593796552410486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63383</v>
      </c>
      <c r="D89" s="17">
        <v>62266</v>
      </c>
      <c r="E89" s="10">
        <f t="shared" si="4"/>
        <v>1.7939164230880378E-2</v>
      </c>
      <c r="F89" s="80">
        <v>0.17203159786684807</v>
      </c>
      <c r="G89" s="83">
        <v>210569</v>
      </c>
      <c r="H89" s="17">
        <v>211446</v>
      </c>
      <c r="I89" s="10">
        <f t="shared" si="5"/>
        <v>-4.1476310736547894E-3</v>
      </c>
      <c r="J89" s="44">
        <v>0.17990415929818426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389352</v>
      </c>
      <c r="D90" s="17">
        <v>381421</v>
      </c>
      <c r="E90" s="10">
        <f t="shared" si="4"/>
        <v>2.0793296645963411E-2</v>
      </c>
      <c r="F90" s="80">
        <v>0.47027369947435194</v>
      </c>
      <c r="G90" s="83">
        <v>1454995</v>
      </c>
      <c r="H90" s="17">
        <v>1425353</v>
      </c>
      <c r="I90" s="10">
        <f t="shared" si="5"/>
        <v>2.0796251875851102E-2</v>
      </c>
      <c r="J90" s="44">
        <v>0.33126582313226427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188429</v>
      </c>
      <c r="D91" s="17">
        <v>181592</v>
      </c>
      <c r="E91" s="10">
        <f t="shared" si="4"/>
        <v>3.7650337019252023E-2</v>
      </c>
      <c r="F91" s="80">
        <v>0.2053809031544902</v>
      </c>
      <c r="G91" s="83">
        <v>724062</v>
      </c>
      <c r="H91" s="17">
        <v>723534</v>
      </c>
      <c r="I91" s="10">
        <f t="shared" si="5"/>
        <v>7.2975146986875572E-4</v>
      </c>
      <c r="J91" s="44">
        <v>0.17138632377969465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255702</v>
      </c>
      <c r="D92" s="17">
        <v>251516</v>
      </c>
      <c r="E92" s="10">
        <f t="shared" si="4"/>
        <v>1.6643076384802447E-2</v>
      </c>
      <c r="F92" s="80">
        <v>7.4631005614766543E-2</v>
      </c>
      <c r="G92" s="83">
        <v>728018</v>
      </c>
      <c r="H92" s="17">
        <v>741923</v>
      </c>
      <c r="I92" s="10">
        <f t="shared" si="5"/>
        <v>-1.874183709091104E-2</v>
      </c>
      <c r="J92" s="44">
        <v>2.4198914769905544E-2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281084</v>
      </c>
      <c r="D93" s="17">
        <v>272351</v>
      </c>
      <c r="E93" s="10">
        <f t="shared" si="4"/>
        <v>3.2065239341878771E-2</v>
      </c>
      <c r="F93" s="80">
        <v>0.40150140207978491</v>
      </c>
      <c r="G93" s="83">
        <v>1091384</v>
      </c>
      <c r="H93" s="17">
        <v>1048726</v>
      </c>
      <c r="I93" s="10">
        <f t="shared" si="5"/>
        <v>4.0676020237888633E-2</v>
      </c>
      <c r="J93" s="44">
        <v>0.31370111405028367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188126</v>
      </c>
      <c r="D94" s="17">
        <v>191496</v>
      </c>
      <c r="E94" s="33">
        <f t="shared" si="4"/>
        <v>-1.7598278815223245E-2</v>
      </c>
      <c r="F94" s="80">
        <v>0.38628847321539128</v>
      </c>
      <c r="G94" s="83">
        <v>1942376</v>
      </c>
      <c r="H94" s="17">
        <v>1953291</v>
      </c>
      <c r="I94" s="33">
        <f t="shared" si="5"/>
        <v>-5.5880050642735934E-3</v>
      </c>
      <c r="J94" s="44">
        <v>0.16706364384795913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704439</v>
      </c>
      <c r="D95" s="18">
        <v>669530</v>
      </c>
      <c r="E95" s="43">
        <f t="shared" si="4"/>
        <v>5.2139560587277645E-2</v>
      </c>
      <c r="F95" s="11">
        <v>0.67007981989551446</v>
      </c>
      <c r="G95" s="84">
        <v>2724432</v>
      </c>
      <c r="H95" s="18">
        <v>2598151</v>
      </c>
      <c r="I95" s="43">
        <f t="shared" si="5"/>
        <v>4.8604180434470567E-2</v>
      </c>
      <c r="J95" s="48">
        <v>0.57223934829586254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3461268</v>
      </c>
      <c r="D96" s="40">
        <v>3403357</v>
      </c>
      <c r="E96" s="41">
        <f t="shared" si="4"/>
        <v>1.7015846412821167E-2</v>
      </c>
      <c r="F96" s="86">
        <v>0.42837028018154966</v>
      </c>
      <c r="G96" s="79">
        <v>16255097</v>
      </c>
      <c r="H96" s="40">
        <v>16054424</v>
      </c>
      <c r="I96" s="41">
        <f t="shared" si="5"/>
        <v>1.2499545296673409E-2</v>
      </c>
      <c r="J96" s="45">
        <v>0.29285689652440805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VLOOKUP("&lt;T5Aktualisierung&gt;",Uebersetzungen!$B$4:$E$315,Uebersetzungen!$B$2+1,FALSE)</f>
        <v>Letztmals aktualisiert am: 07.07.2025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VLOOKUP("&lt;T5Legende_3&gt;",Uebersetzungen!$B$4:$E$315,Uebersetzungen!$B$2+1,FALSE)</f>
        <v>Daten des Juni 2025 erscheinen am 5. August 2025.</v>
      </c>
    </row>
    <row r="103" spans="1:6" x14ac:dyDescent="0.2">
      <c r="A103" s="4" t="s">
        <v>47</v>
      </c>
    </row>
  </sheetData>
  <sheetProtection sheet="1" objects="1" scenarios="1"/>
  <mergeCells count="1">
    <mergeCell ref="A7:D7"/>
  </mergeCells>
  <hyperlinks>
    <hyperlink ref="E33" r:id="rId1" xr:uid="{00000000-0004-0000-0700-000000000000}"/>
    <hyperlink ref="E76" location="Länder_Pajais_Paesi!A1" display="Länder / Pajais / Paese" xr:uid="{00000000-0004-0000-07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3"/>
  <dimension ref="A1:K103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33" t="str">
        <f>VLOOKUP("&lt;Fachbereich&gt;",Uebersetzungen!$B$4:$E$315,Uebersetzungen!$B$2+1,FALSE)</f>
        <v>Daten &amp; Statistik</v>
      </c>
      <c r="B7" s="133"/>
      <c r="C7" s="133"/>
      <c r="D7" s="133"/>
      <c r="E7" s="95"/>
      <c r="F7" s="1"/>
    </row>
    <row r="8" spans="1:10" ht="10.5" customHeight="1" x14ac:dyDescent="0.2"/>
    <row r="9" spans="1:10" ht="18" x14ac:dyDescent="0.25">
      <c r="A9" s="2" t="str">
        <f>VLOOKUP("&lt;T4Titel1&gt;",Uebersetzungen!$B$4:$E$315,Uebersetzungen!$B$2+1,FALSE)</f>
        <v>Hotel- und Kurbetriebe: Logiernächte im April 2025, nach Destinationen</v>
      </c>
      <c r="B9" s="3"/>
      <c r="C9" s="3"/>
      <c r="D9" s="3"/>
      <c r="E9" s="3"/>
      <c r="F9" s="3"/>
    </row>
    <row r="10" spans="1:10" s="119" customFormat="1" x14ac:dyDescent="0.2">
      <c r="A10" s="116" t="str">
        <f>VLOOKUP("&lt;Titelprov&gt;",Uebersetzungen!$B$4:$E$315,Uebersetzungen!$B$2+1,FALSE)</f>
        <v>provisorische Ergebnisse</v>
      </c>
      <c r="B10" s="117"/>
      <c r="C10" s="118"/>
      <c r="D10" s="118"/>
      <c r="E10" s="118"/>
      <c r="F10" s="118"/>
      <c r="G10" s="118"/>
    </row>
    <row r="11" spans="1:10" ht="13.5" thickBot="1" x14ac:dyDescent="0.25"/>
    <row r="12" spans="1:10" ht="51" x14ac:dyDescent="0.2">
      <c r="A12" s="8"/>
      <c r="B12" s="9"/>
      <c r="C12" s="20" t="str">
        <f>VLOOKUP("&lt;T4SpaltenTitel_1&gt;",Uebersetzungen!$B$4:$E$315,Uebersetzungen!$B$2+1,FALSE)</f>
        <v>April 2025</v>
      </c>
      <c r="D12" s="21" t="str">
        <f>VLOOKUP("&lt;T4SpaltenTitel_2&gt;",Uebersetzungen!$B$4:$E$315,Uebersetzungen!$B$2+1,FALSE)</f>
        <v>April 2024</v>
      </c>
      <c r="E12" s="22" t="str">
        <f>VLOOKUP("&lt;SpaltenTitel_3&gt;",Uebersetzungen!$B$4:$E$315,Uebersetzungen!$B$2+1,FALSE)</f>
        <v>Veränderung 25/24 in %</v>
      </c>
      <c r="F12" s="22" t="str">
        <f>VLOOKUP("&lt;SpaltenTitel_4&gt;",Uebersetzungen!$B$4:$E$315,Uebersetzungen!$B$2+1,FALSE)</f>
        <v>Veränderung zum
5-Jahresmittel 
in %</v>
      </c>
      <c r="G12" s="75" t="str">
        <f>VLOOKUP("&lt;T4SpaltenTitel_5&gt;",Uebersetzungen!$B$4:$E$315,Uebersetzungen!$B$2+1,FALSE)</f>
        <v>Januar-April 25</v>
      </c>
      <c r="H12" s="22" t="str">
        <f>VLOOKUP("&lt;T4SpaltenTitel_6&gt;",Uebersetzungen!$B$4:$E$315,Uebersetzungen!$B$2+1,FALSE)</f>
        <v>Januar-April 24</v>
      </c>
      <c r="I12" s="22" t="str">
        <f>VLOOKUP("&lt;SpaltenTitel_7&gt;",Uebersetzungen!$B$4:$E$315,Uebersetzungen!$B$2+1,FALSE)</f>
        <v>Veränderung 25/24 in %</v>
      </c>
      <c r="J12" s="23" t="str">
        <f>VLOOKUP("&lt;SpaltenTitel_8&gt;",Uebersetzungen!$B$4:$E$315,Uebersetzungen!$B$2+1,FALSE)</f>
        <v>Veränderung zum
5-Jahresmittel 
in %</v>
      </c>
    </row>
    <row r="13" spans="1:10" x14ac:dyDescent="0.2">
      <c r="A13" s="24" t="str">
        <f>VLOOKUP("&lt;Zeilentitel_1&gt;",Uebersetzungen!$B$4:$E$88,Uebersetzungen!$B$2+1,FALSE)</f>
        <v>Arosa</v>
      </c>
      <c r="B13" s="5"/>
      <c r="C13" s="51">
        <v>9592</v>
      </c>
      <c r="D13" s="52">
        <v>11970</v>
      </c>
      <c r="E13" s="53">
        <f t="shared" ref="E13:E31" si="0">C13/D13-1</f>
        <v>-0.19866332497911443</v>
      </c>
      <c r="F13" s="72">
        <v>-0.19286435543588021</v>
      </c>
      <c r="G13" s="76">
        <v>228016</v>
      </c>
      <c r="H13" s="52">
        <v>235673</v>
      </c>
      <c r="I13" s="53">
        <f t="shared" ref="I13:I31" si="1">G13/H13-1</f>
        <v>-3.2489933085249501E-2</v>
      </c>
      <c r="J13" s="54">
        <v>0.11604595045691046</v>
      </c>
    </row>
    <row r="14" spans="1:10" x14ac:dyDescent="0.2">
      <c r="A14" s="24" t="str">
        <f>VLOOKUP("&lt;Zeilentitel_2&gt;",Uebersetzungen!$B$4:$E$88,Uebersetzungen!$B$2+1,FALSE)</f>
        <v>Bergün Filisur</v>
      </c>
      <c r="B14" s="5"/>
      <c r="C14" s="51">
        <v>315</v>
      </c>
      <c r="D14" s="52">
        <v>409</v>
      </c>
      <c r="E14" s="53">
        <f t="shared" si="0"/>
        <v>-0.22982885085574567</v>
      </c>
      <c r="F14" s="72">
        <v>-0.55344485398355547</v>
      </c>
      <c r="G14" s="76">
        <v>21045</v>
      </c>
      <c r="H14" s="52">
        <v>20545</v>
      </c>
      <c r="I14" s="53">
        <f t="shared" si="1"/>
        <v>2.4336821611097514E-2</v>
      </c>
      <c r="J14" s="54">
        <v>7.603106357307432E-3</v>
      </c>
    </row>
    <row r="15" spans="1:10" x14ac:dyDescent="0.2">
      <c r="A15" s="24" t="str">
        <f>VLOOKUP("&lt;Zeilentitel_3&gt;",Uebersetzungen!$B$4:$E$88,Uebersetzungen!$B$2+1,FALSE)</f>
        <v>Bregaglia Engadin</v>
      </c>
      <c r="B15" s="5"/>
      <c r="C15" s="51">
        <v>942</v>
      </c>
      <c r="D15" s="52">
        <v>629</v>
      </c>
      <c r="E15" s="53">
        <f t="shared" si="0"/>
        <v>0.49761526232114472</v>
      </c>
      <c r="F15" s="72">
        <v>-0.21395193591455275</v>
      </c>
      <c r="G15" s="76">
        <v>14983</v>
      </c>
      <c r="H15" s="52">
        <v>16474</v>
      </c>
      <c r="I15" s="53">
        <f t="shared" si="1"/>
        <v>-9.0506252276314147E-2</v>
      </c>
      <c r="J15" s="54">
        <v>-4.9000317359568335E-2</v>
      </c>
    </row>
    <row r="16" spans="1:10" x14ac:dyDescent="0.2">
      <c r="A16" s="24" t="str">
        <f>VLOOKUP("&lt;Zeilentitel_4&gt;",Uebersetzungen!$B$4:$E$88,Uebersetzungen!$B$2+1,FALSE)</f>
        <v>Bündner Herrschaft</v>
      </c>
      <c r="B16" s="5"/>
      <c r="C16" s="51">
        <v>3560</v>
      </c>
      <c r="D16" s="52">
        <v>4356</v>
      </c>
      <c r="E16" s="53">
        <f t="shared" si="0"/>
        <v>-0.18273645546372819</v>
      </c>
      <c r="F16" s="72">
        <v>0.13462519122896488</v>
      </c>
      <c r="G16" s="76">
        <v>15269</v>
      </c>
      <c r="H16" s="52">
        <v>16415</v>
      </c>
      <c r="I16" s="53">
        <f t="shared" si="1"/>
        <v>-6.9814194334450241E-2</v>
      </c>
      <c r="J16" s="54">
        <v>0.23318095914971959</v>
      </c>
    </row>
    <row r="17" spans="1:10" x14ac:dyDescent="0.2">
      <c r="A17" s="24" t="str">
        <f>VLOOKUP("&lt;Zeilentitel_5&gt;",Uebersetzungen!$B$4:$E$88,Uebersetzungen!$B$2+1,FALSE)</f>
        <v>Chur</v>
      </c>
      <c r="B17" s="5"/>
      <c r="C17" s="51">
        <v>18655</v>
      </c>
      <c r="D17" s="52">
        <v>17779</v>
      </c>
      <c r="E17" s="53">
        <f t="shared" si="0"/>
        <v>4.927161257663526E-2</v>
      </c>
      <c r="F17" s="72">
        <v>0.62573639627705946</v>
      </c>
      <c r="G17" s="76">
        <v>75899</v>
      </c>
      <c r="H17" s="52">
        <v>73906</v>
      </c>
      <c r="I17" s="53">
        <f t="shared" si="1"/>
        <v>2.6966687413741752E-2</v>
      </c>
      <c r="J17" s="54">
        <v>0.45333006537199227</v>
      </c>
    </row>
    <row r="18" spans="1:10" x14ac:dyDescent="0.2">
      <c r="A18" s="24" t="str">
        <f>VLOOKUP("&lt;Zeilentitel_6&gt;",Uebersetzungen!$B$4:$E$88,Uebersetzungen!$B$2+1,FALSE)</f>
        <v>Davos Klosters</v>
      </c>
      <c r="B18" s="5"/>
      <c r="C18" s="51">
        <v>30841</v>
      </c>
      <c r="D18" s="52">
        <v>22049</v>
      </c>
      <c r="E18" s="53">
        <f t="shared" si="0"/>
        <v>0.39874824255068253</v>
      </c>
      <c r="F18" s="72">
        <v>0.30341988707441603</v>
      </c>
      <c r="G18" s="76">
        <v>407449</v>
      </c>
      <c r="H18" s="52">
        <v>421233</v>
      </c>
      <c r="I18" s="53">
        <f t="shared" si="1"/>
        <v>-3.2722982292460512E-2</v>
      </c>
      <c r="J18" s="54">
        <v>6.2517211021729802E-2</v>
      </c>
    </row>
    <row r="19" spans="1:10" x14ac:dyDescent="0.2">
      <c r="A19" s="24" t="str">
        <f>VLOOKUP("&lt;Zeilentitel_7&gt;",Uebersetzungen!$B$4:$E$88,Uebersetzungen!$B$2+1,FALSE)</f>
        <v>Disentis Sedrun</v>
      </c>
      <c r="B19" s="5"/>
      <c r="C19" s="51">
        <v>2141</v>
      </c>
      <c r="D19" s="52">
        <v>1747</v>
      </c>
      <c r="E19" s="53">
        <f t="shared" si="0"/>
        <v>0.22552947910704058</v>
      </c>
      <c r="F19" s="72">
        <v>-0.36615548581917223</v>
      </c>
      <c r="G19" s="76">
        <v>56037</v>
      </c>
      <c r="H19" s="52">
        <v>65088</v>
      </c>
      <c r="I19" s="53">
        <f t="shared" si="1"/>
        <v>-0.13905789085545728</v>
      </c>
      <c r="J19" s="54">
        <v>-8.3631807692853277E-3</v>
      </c>
    </row>
    <row r="20" spans="1:10" x14ac:dyDescent="0.2">
      <c r="A20" s="24" t="str">
        <f>VLOOKUP("&lt;Zeilentitel_8&gt;",Uebersetzungen!$B$4:$E$88,Uebersetzungen!$B$2+1,FALSE)</f>
        <v>Scuol Samnaun Val Müstair</v>
      </c>
      <c r="B20" s="5"/>
      <c r="C20" s="51">
        <v>23703</v>
      </c>
      <c r="D20" s="52">
        <v>19951</v>
      </c>
      <c r="E20" s="53">
        <f t="shared" si="0"/>
        <v>0.18806074883464485</v>
      </c>
      <c r="F20" s="72">
        <v>0.12817705854355066</v>
      </c>
      <c r="G20" s="76">
        <v>224929</v>
      </c>
      <c r="H20" s="52">
        <v>221035</v>
      </c>
      <c r="I20" s="53">
        <f t="shared" si="1"/>
        <v>1.7617119460718866E-2</v>
      </c>
      <c r="J20" s="54">
        <v>0.12755635049698322</v>
      </c>
    </row>
    <row r="21" spans="1:10" x14ac:dyDescent="0.2">
      <c r="A21" s="24" t="str">
        <f>VLOOKUP("&lt;Zeilentitel_9&gt;",Uebersetzungen!$B$4:$E$88,Uebersetzungen!$B$2+1,FALSE)</f>
        <v>Engadin St. Moritz</v>
      </c>
      <c r="B21" s="5"/>
      <c r="C21" s="51">
        <v>48754</v>
      </c>
      <c r="D21" s="52">
        <v>42850</v>
      </c>
      <c r="E21" s="53">
        <f t="shared" si="0"/>
        <v>0.13778296382730448</v>
      </c>
      <c r="F21" s="72">
        <v>0.21916088602593642</v>
      </c>
      <c r="G21" s="76">
        <v>728284</v>
      </c>
      <c r="H21" s="52">
        <v>705384</v>
      </c>
      <c r="I21" s="53">
        <f t="shared" si="1"/>
        <v>3.246458666485208E-2</v>
      </c>
      <c r="J21" s="54">
        <v>0.19877167235202742</v>
      </c>
    </row>
    <row r="22" spans="1:10" x14ac:dyDescent="0.2">
      <c r="A22" s="24" t="str">
        <f>VLOOKUP("&lt;Zeilentitel_10&gt;",Uebersetzungen!$B$4:$E$88,Uebersetzungen!$B$2+1,FALSE)</f>
        <v>Flims Laax</v>
      </c>
      <c r="B22" s="5"/>
      <c r="C22" s="51">
        <v>23179</v>
      </c>
      <c r="D22" s="52">
        <v>17330</v>
      </c>
      <c r="E22" s="53">
        <f t="shared" si="0"/>
        <v>0.33750721292556252</v>
      </c>
      <c r="F22" s="72">
        <v>2.8933911005362356E-2</v>
      </c>
      <c r="G22" s="76">
        <v>232033</v>
      </c>
      <c r="H22" s="52">
        <v>227778</v>
      </c>
      <c r="I22" s="53">
        <f t="shared" si="1"/>
        <v>1.8680469580029779E-2</v>
      </c>
      <c r="J22" s="54">
        <v>1.5248437964891171E-2</v>
      </c>
    </row>
    <row r="23" spans="1:10" x14ac:dyDescent="0.2">
      <c r="A23" s="24" t="str">
        <f>VLOOKUP("&lt;Zeilentitel_11&gt;",Uebersetzungen!$B$4:$E$88,Uebersetzungen!$B$2+1,FALSE)</f>
        <v>Lenzerheide</v>
      </c>
      <c r="B23" s="5"/>
      <c r="C23" s="51">
        <v>5472</v>
      </c>
      <c r="D23" s="52">
        <v>4450</v>
      </c>
      <c r="E23" s="53">
        <f t="shared" si="0"/>
        <v>0.22966292134831456</v>
      </c>
      <c r="F23" s="72">
        <v>-5.8499655884377111E-2</v>
      </c>
      <c r="G23" s="76">
        <v>140777</v>
      </c>
      <c r="H23" s="52">
        <v>145880</v>
      </c>
      <c r="I23" s="53">
        <f t="shared" si="1"/>
        <v>-3.4980806142034582E-2</v>
      </c>
      <c r="J23" s="54">
        <v>6.3435737896171407E-3</v>
      </c>
    </row>
    <row r="24" spans="1:10" x14ac:dyDescent="0.2">
      <c r="A24" s="24" t="str">
        <f>VLOOKUP("&lt;Zeilentitel_12&gt;",Uebersetzungen!$B$4:$E$88,Uebersetzungen!$B$2+1,FALSE)</f>
        <v>Prättigau</v>
      </c>
      <c r="B24" s="5"/>
      <c r="C24" s="51">
        <v>4156</v>
      </c>
      <c r="D24" s="52">
        <v>4071</v>
      </c>
      <c r="E24" s="53">
        <f t="shared" si="0"/>
        <v>2.0879390813067999E-2</v>
      </c>
      <c r="F24" s="72">
        <v>0.24386447982760684</v>
      </c>
      <c r="G24" s="76">
        <v>33732</v>
      </c>
      <c r="H24" s="52">
        <v>35597</v>
      </c>
      <c r="I24" s="53">
        <f t="shared" si="1"/>
        <v>-5.2392055510295799E-2</v>
      </c>
      <c r="J24" s="54">
        <v>0.13670674502614966</v>
      </c>
    </row>
    <row r="25" spans="1:10" x14ac:dyDescent="0.2">
      <c r="A25" s="24" t="str">
        <f>VLOOKUP("&lt;Zeilentitel_13&gt;",Uebersetzungen!$B$4:$E$88,Uebersetzungen!$B$2+1,FALSE)</f>
        <v>San Bernardino, Mesolcina/Calanca</v>
      </c>
      <c r="B25" s="5"/>
      <c r="C25" s="51">
        <v>1380</v>
      </c>
      <c r="D25" s="52">
        <v>1261</v>
      </c>
      <c r="E25" s="53">
        <f t="shared" si="0"/>
        <v>9.4369547977795509E-2</v>
      </c>
      <c r="F25" s="72">
        <v>0.40558158484416396</v>
      </c>
      <c r="G25" s="76">
        <v>12006</v>
      </c>
      <c r="H25" s="52">
        <v>8260</v>
      </c>
      <c r="I25" s="53">
        <f t="shared" si="1"/>
        <v>0.45351089588377724</v>
      </c>
      <c r="J25" s="54">
        <v>0.6472299206980765</v>
      </c>
    </row>
    <row r="26" spans="1:10" x14ac:dyDescent="0.2">
      <c r="A26" s="24" t="str">
        <f>VLOOKUP("&lt;Zeilentitel_14&gt;",Uebersetzungen!$B$4:$E$88,Uebersetzungen!$B$2+1,FALSE)</f>
        <v>Val Surses</v>
      </c>
      <c r="B26" s="5"/>
      <c r="C26" s="51">
        <v>2266</v>
      </c>
      <c r="D26" s="52">
        <v>2366</v>
      </c>
      <c r="E26" s="53">
        <f t="shared" si="0"/>
        <v>-4.2265426880811474E-2</v>
      </c>
      <c r="F26" s="72">
        <v>3.9831130690161531E-2</v>
      </c>
      <c r="G26" s="76">
        <v>41913</v>
      </c>
      <c r="H26" s="52">
        <v>41147</v>
      </c>
      <c r="I26" s="53">
        <f t="shared" si="1"/>
        <v>1.8616181009551092E-2</v>
      </c>
      <c r="J26" s="54">
        <v>0.21325892004237867</v>
      </c>
    </row>
    <row r="27" spans="1:10" x14ac:dyDescent="0.2">
      <c r="A27" s="24" t="str">
        <f>VLOOKUP("&lt;Zeilentitel_15&gt;",Uebersetzungen!$B$4:$E$88,Uebersetzungen!$B$2+1,FALSE)</f>
        <v>Surselva</v>
      </c>
      <c r="B27" s="5"/>
      <c r="C27" s="59">
        <v>3044</v>
      </c>
      <c r="D27" s="52">
        <v>2022</v>
      </c>
      <c r="E27" s="53">
        <f t="shared" si="0"/>
        <v>0.50544015825914945</v>
      </c>
      <c r="F27" s="72">
        <v>0.33030329516650658</v>
      </c>
      <c r="G27" s="77">
        <v>43219</v>
      </c>
      <c r="H27" s="52">
        <v>42068</v>
      </c>
      <c r="I27" s="53">
        <f t="shared" si="1"/>
        <v>2.736046401064951E-2</v>
      </c>
      <c r="J27" s="54">
        <v>1.4692486124545878E-2</v>
      </c>
    </row>
    <row r="28" spans="1:10" x14ac:dyDescent="0.2">
      <c r="A28" s="24" t="str">
        <f>VLOOKUP("&lt;Zeilentitel_16&gt;",Uebersetzungen!$B$4:$E$88,Uebersetzungen!$B$2+1,FALSE)</f>
        <v>Valposchiavo</v>
      </c>
      <c r="B28" s="5"/>
      <c r="C28" s="51">
        <v>3519</v>
      </c>
      <c r="D28" s="52">
        <v>3174</v>
      </c>
      <c r="E28" s="53">
        <f t="shared" si="0"/>
        <v>0.10869565217391308</v>
      </c>
      <c r="F28" s="72">
        <v>0.2436386768447838</v>
      </c>
      <c r="G28" s="76">
        <v>14356</v>
      </c>
      <c r="H28" s="52">
        <v>12699</v>
      </c>
      <c r="I28" s="53">
        <f t="shared" si="1"/>
        <v>0.13048271517442322</v>
      </c>
      <c r="J28" s="54">
        <v>0.45586564984585443</v>
      </c>
    </row>
    <row r="29" spans="1:10" x14ac:dyDescent="0.2">
      <c r="A29" s="24" t="str">
        <f>VLOOKUP("&lt;Zeilentitel_17&gt;",Uebersetzungen!$B$4:$E$88,Uebersetzungen!$B$2+1,FALSE)</f>
        <v>Vals</v>
      </c>
      <c r="B29" s="5"/>
      <c r="C29" s="59">
        <v>2820</v>
      </c>
      <c r="D29" s="55">
        <v>2357</v>
      </c>
      <c r="E29" s="53">
        <f t="shared" si="0"/>
        <v>0.19643614764531181</v>
      </c>
      <c r="F29" s="72">
        <v>-0.1643949271067916</v>
      </c>
      <c r="G29" s="77">
        <v>25669</v>
      </c>
      <c r="H29" s="55">
        <v>25845</v>
      </c>
      <c r="I29" s="53">
        <f t="shared" si="1"/>
        <v>-6.809827819694303E-3</v>
      </c>
      <c r="J29" s="54">
        <v>-1.9997862007880007E-2</v>
      </c>
    </row>
    <row r="30" spans="1:10" x14ac:dyDescent="0.2">
      <c r="A30" s="24" t="str">
        <f>VLOOKUP("&lt;Zeilentitel_18&gt;",Uebersetzungen!$B$4:$E$88,Uebersetzungen!$B$2+1,FALSE)</f>
        <v>Viamala</v>
      </c>
      <c r="B30" s="5"/>
      <c r="C30" s="56">
        <v>3488</v>
      </c>
      <c r="D30" s="57">
        <v>3517</v>
      </c>
      <c r="E30" s="53">
        <f t="shared" si="0"/>
        <v>-8.2456639181119895E-3</v>
      </c>
      <c r="F30" s="73">
        <v>0.16243417983070052</v>
      </c>
      <c r="G30" s="78">
        <v>27974</v>
      </c>
      <c r="H30" s="57">
        <v>30079</v>
      </c>
      <c r="I30" s="53">
        <f t="shared" si="1"/>
        <v>-6.9982379733368849E-2</v>
      </c>
      <c r="J30" s="58">
        <v>6.52947135121138E-2</v>
      </c>
    </row>
    <row r="31" spans="1:10" ht="13.5" thickBot="1" x14ac:dyDescent="0.25">
      <c r="A31" s="26" t="str">
        <f>VLOOKUP("&lt;Zeilentitel_19&gt;",Uebersetzungen!$B$4:$E$88,Uebersetzungen!$B$2+1,FALSE)</f>
        <v>Graubünden</v>
      </c>
      <c r="B31" s="25"/>
      <c r="C31" s="30">
        <v>187827</v>
      </c>
      <c r="D31" s="19">
        <v>162288</v>
      </c>
      <c r="E31" s="12">
        <f t="shared" si="0"/>
        <v>0.15736838213546278</v>
      </c>
      <c r="F31" s="74">
        <v>0.15391278705444367</v>
      </c>
      <c r="G31" s="79">
        <v>2343590</v>
      </c>
      <c r="H31" s="19">
        <v>2345106</v>
      </c>
      <c r="I31" s="12">
        <f t="shared" si="1"/>
        <v>-6.4645265501861449E-4</v>
      </c>
      <c r="J31" s="47">
        <v>0.11737801999922559</v>
      </c>
    </row>
    <row r="32" spans="1:10" x14ac:dyDescent="0.2">
      <c r="C32" s="15"/>
      <c r="D32" s="16"/>
      <c r="E32" s="28"/>
      <c r="F32" s="27"/>
      <c r="I32" s="15"/>
      <c r="J32" s="15"/>
    </row>
    <row r="33" spans="1:10" x14ac:dyDescent="0.2">
      <c r="A33" s="4" t="str">
        <f>VLOOKUP("&lt;Legende_1&gt;",Uebersetzungen!$B$4:$E$91,Uebersetzungen!$B$2+1,FALSE)</f>
        <v>Aktuelle Zuordnung der politischen Gemeinden zu Destinationen:</v>
      </c>
      <c r="E33" s="67" t="s">
        <v>186</v>
      </c>
      <c r="F33" s="49"/>
    </row>
    <row r="35" spans="1:10" x14ac:dyDescent="0.2">
      <c r="C35" s="15"/>
    </row>
    <row r="36" spans="1:10" ht="18" x14ac:dyDescent="0.25">
      <c r="A36" s="2" t="str">
        <f>VLOOKUP("&lt;T4Titel2&gt;",Uebersetzungen!$B$4:$E$315,Uebersetzungen!$B$2+1,FALSE)</f>
        <v>Hotel- und Kurbetriebe: Logiernächte im April 2025, nach Herkunft</v>
      </c>
      <c r="B36" s="3"/>
      <c r="C36" s="3"/>
      <c r="D36" s="3"/>
      <c r="E36" s="3"/>
      <c r="F36" s="3"/>
    </row>
    <row r="37" spans="1:10" s="119" customFormat="1" x14ac:dyDescent="0.2">
      <c r="A37" s="116" t="str">
        <f>VLOOKUP("&lt;Titelprov&gt;",Uebersetzungen!$B$4:$E$315,Uebersetzungen!$B$2+1,FALSE)</f>
        <v>provisorische Ergebnisse</v>
      </c>
      <c r="B37" s="117"/>
      <c r="C37" s="118"/>
      <c r="D37" s="118"/>
      <c r="E37" s="118"/>
      <c r="F37" s="118"/>
      <c r="G37" s="118"/>
    </row>
    <row r="38" spans="1:10" ht="13.5" thickBot="1" x14ac:dyDescent="0.25"/>
    <row r="39" spans="1:10" ht="51" x14ac:dyDescent="0.2">
      <c r="A39" s="8"/>
      <c r="B39" s="9"/>
      <c r="C39" s="20" t="str">
        <f>VLOOKUP("&lt;T4SpaltenTitel_1&gt;",Uebersetzungen!$B$4:$E$315,Uebersetzungen!$B$2+1,FALSE)</f>
        <v>April 2025</v>
      </c>
      <c r="D39" s="21" t="str">
        <f>VLOOKUP("&lt;T4SpaltenTitel_2&gt;",Uebersetzungen!$B$4:$E$315,Uebersetzungen!$B$2+1,FALSE)</f>
        <v>April 2024</v>
      </c>
      <c r="E39" s="22" t="str">
        <f>VLOOKUP("&lt;SpaltenTitel_3&gt;",Uebersetzungen!$B$4:$E$315,Uebersetzungen!$B$2+1,FALSE)</f>
        <v>Veränderung 25/24 in %</v>
      </c>
      <c r="F39" s="22" t="str">
        <f>VLOOKUP("&lt;SpaltenTitel_4&gt;",Uebersetzungen!$B$4:$E$315,Uebersetzungen!$B$2+1,FALSE)</f>
        <v>Veränderung zum
5-Jahresmittel 
in %</v>
      </c>
      <c r="G39" s="75" t="str">
        <f>VLOOKUP("&lt;T4SpaltenTitel_5&gt;",Uebersetzungen!$B$4:$E$315,Uebersetzungen!$B$2+1,FALSE)</f>
        <v>Januar-April 25</v>
      </c>
      <c r="H39" s="22" t="str">
        <f>VLOOKUP("&lt;T4SpaltenTitel_6&gt;",Uebersetzungen!$B$4:$E$315,Uebersetzungen!$B$2+1,FALSE)</f>
        <v>Januar-April 24</v>
      </c>
      <c r="I39" s="22" t="str">
        <f>VLOOKUP("&lt;SpaltenTitel_7&gt;",Uebersetzungen!$B$4:$E$315,Uebersetzungen!$B$2+1,FALSE)</f>
        <v>Veränderung 25/24 in %</v>
      </c>
      <c r="J39" s="23" t="str">
        <f>VLOOKUP("&lt;SpaltenTitel_8&gt;",Uebersetzungen!$B$4:$E$315,Uebersetzungen!$B$2+1,FALSE)</f>
        <v>Veränderung zum
5-Jahresmittel 
in %</v>
      </c>
    </row>
    <row r="40" spans="1:10" x14ac:dyDescent="0.2">
      <c r="A40" s="24" t="str">
        <f>VLOOKUP("&lt;Zeilentitel_20&gt;",Uebersetzungen!$B$4:$E$88,Uebersetzungen!$B$2+1,FALSE)</f>
        <v>Schweiz</v>
      </c>
      <c r="B40" s="5"/>
      <c r="C40" s="13">
        <v>112848</v>
      </c>
      <c r="D40" s="17">
        <v>98643</v>
      </c>
      <c r="E40" s="10">
        <f>C40/D40-1</f>
        <v>0.14400413612724683</v>
      </c>
      <c r="F40" s="80">
        <v>3.6790403845517794E-2</v>
      </c>
      <c r="G40" s="83">
        <v>1449191</v>
      </c>
      <c r="H40" s="17">
        <v>1465186</v>
      </c>
      <c r="I40" s="10">
        <f>G40/H40-1</f>
        <v>-1.0916702725797256E-2</v>
      </c>
      <c r="J40" s="44">
        <v>2.988358093000798E-2</v>
      </c>
    </row>
    <row r="41" spans="1:10" x14ac:dyDescent="0.2">
      <c r="A41" s="24" t="str">
        <f>VLOOKUP("&lt;Zeilentitel_21&gt;",Uebersetzungen!$B$4:$E$88,Uebersetzungen!$B$2+1,FALSE)</f>
        <v>Deutschland</v>
      </c>
      <c r="B41" s="5"/>
      <c r="C41" s="13">
        <v>28781</v>
      </c>
      <c r="D41" s="17">
        <v>21771</v>
      </c>
      <c r="E41" s="10">
        <f t="shared" ref="E41:E74" si="2">C41/D41-1</f>
        <v>0.32198796564236831</v>
      </c>
      <c r="F41" s="80">
        <v>0.1377598216332887</v>
      </c>
      <c r="G41" s="83">
        <v>333771</v>
      </c>
      <c r="H41" s="17">
        <v>369835</v>
      </c>
      <c r="I41" s="10">
        <f t="shared" ref="I41:I74" si="3">G41/H41-1</f>
        <v>-9.7513756134492424E-2</v>
      </c>
      <c r="J41" s="44">
        <v>0.12946988134459869</v>
      </c>
    </row>
    <row r="42" spans="1:10" x14ac:dyDescent="0.2">
      <c r="A42" s="24" t="str">
        <f>VLOOKUP("&lt;Zeilentitel_22&gt;",Uebersetzungen!$B$4:$E$88,Uebersetzungen!$B$2+1,FALSE)</f>
        <v>Vereinigte Staaten</v>
      </c>
      <c r="B42" s="5"/>
      <c r="C42" s="13">
        <v>4319</v>
      </c>
      <c r="D42" s="17">
        <v>4007</v>
      </c>
      <c r="E42" s="10">
        <f t="shared" si="2"/>
        <v>7.7863738457699005E-2</v>
      </c>
      <c r="F42" s="80">
        <v>1.1582050769538275</v>
      </c>
      <c r="G42" s="83">
        <v>65441</v>
      </c>
      <c r="H42" s="17">
        <v>53000</v>
      </c>
      <c r="I42" s="10">
        <f t="shared" si="3"/>
        <v>0.23473584905660383</v>
      </c>
      <c r="J42" s="44">
        <v>1.0869129849670576</v>
      </c>
    </row>
    <row r="43" spans="1:10" x14ac:dyDescent="0.2">
      <c r="A43" s="24" t="str">
        <f>VLOOKUP("&lt;Zeilentitel_23&gt;",Uebersetzungen!$B$4:$E$88,Uebersetzungen!$B$2+1,FALSE)</f>
        <v>Vereinigtes Königreich</v>
      </c>
      <c r="B43" s="5"/>
      <c r="C43" s="13">
        <v>10828</v>
      </c>
      <c r="D43" s="17">
        <v>7700</v>
      </c>
      <c r="E43" s="10">
        <f t="shared" si="2"/>
        <v>0.40623376623376628</v>
      </c>
      <c r="F43" s="80">
        <v>1.106614785992218</v>
      </c>
      <c r="G43" s="83">
        <v>88063</v>
      </c>
      <c r="H43" s="17">
        <v>80456</v>
      </c>
      <c r="I43" s="10">
        <f t="shared" si="3"/>
        <v>9.4548573133141023E-2</v>
      </c>
      <c r="J43" s="44">
        <v>0.44367940458040289</v>
      </c>
    </row>
    <row r="44" spans="1:10" x14ac:dyDescent="0.2">
      <c r="A44" s="24" t="str">
        <f>VLOOKUP("&lt;Zeilentitel_24&gt;",Uebersetzungen!$B$4:$E$88,Uebersetzungen!$B$2+1,FALSE)</f>
        <v>Belgien</v>
      </c>
      <c r="B44" s="5"/>
      <c r="C44" s="13">
        <v>2549</v>
      </c>
      <c r="D44" s="17">
        <v>3293</v>
      </c>
      <c r="E44" s="10">
        <f t="shared" si="2"/>
        <v>-0.22593379896750687</v>
      </c>
      <c r="F44" s="80">
        <v>-0.1432508738908308</v>
      </c>
      <c r="G44" s="83">
        <v>25767</v>
      </c>
      <c r="H44" s="17">
        <v>28070</v>
      </c>
      <c r="I44" s="10">
        <f t="shared" si="3"/>
        <v>-8.2044887780548637E-2</v>
      </c>
      <c r="J44" s="44">
        <v>5.5064654289949333E-2</v>
      </c>
    </row>
    <row r="45" spans="1:10" x14ac:dyDescent="0.2">
      <c r="A45" s="24" t="str">
        <f>VLOOKUP("&lt;Zeilentitel_25&gt;",Uebersetzungen!$B$4:$E$88,Uebersetzungen!$B$2+1,FALSE)</f>
        <v>Niederlande</v>
      </c>
      <c r="B45" s="5"/>
      <c r="C45" s="13">
        <v>1567</v>
      </c>
      <c r="D45" s="17">
        <v>1449</v>
      </c>
      <c r="E45" s="10">
        <f t="shared" si="2"/>
        <v>8.1435472739820547E-2</v>
      </c>
      <c r="F45" s="80">
        <v>2.0448033342016281E-2</v>
      </c>
      <c r="G45" s="83">
        <v>41799</v>
      </c>
      <c r="H45" s="17">
        <v>40566</v>
      </c>
      <c r="I45" s="10">
        <f t="shared" si="3"/>
        <v>3.0394911995266893E-2</v>
      </c>
      <c r="J45" s="44">
        <v>0.26134635347512236</v>
      </c>
    </row>
    <row r="46" spans="1:10" x14ac:dyDescent="0.2">
      <c r="A46" s="24" t="str">
        <f>VLOOKUP("&lt;Zeilentitel_26&gt;",Uebersetzungen!$B$4:$E$88,Uebersetzungen!$B$2+1,FALSE)</f>
        <v>Österreich</v>
      </c>
      <c r="B46" s="5"/>
      <c r="C46" s="13">
        <v>1813</v>
      </c>
      <c r="D46" s="17">
        <v>1625</v>
      </c>
      <c r="E46" s="10">
        <f t="shared" si="2"/>
        <v>0.11569230769230776</v>
      </c>
      <c r="F46" s="80">
        <v>0.2998279323200459</v>
      </c>
      <c r="G46" s="83">
        <v>17493</v>
      </c>
      <c r="H46" s="17">
        <v>16022</v>
      </c>
      <c r="I46" s="10">
        <f t="shared" si="3"/>
        <v>9.1811259518162602E-2</v>
      </c>
      <c r="J46" s="44">
        <v>0.29191161265546084</v>
      </c>
    </row>
    <row r="47" spans="1:10" x14ac:dyDescent="0.2">
      <c r="A47" s="24" t="str">
        <f>VLOOKUP("&lt;Zeilentitel_27&gt;",Uebersetzungen!$B$4:$E$88,Uebersetzungen!$B$2+1,FALSE)</f>
        <v>Italien</v>
      </c>
      <c r="B47" s="5"/>
      <c r="C47" s="13">
        <v>3329</v>
      </c>
      <c r="D47" s="17">
        <v>3101</v>
      </c>
      <c r="E47" s="10">
        <f t="shared" si="2"/>
        <v>7.3524669461463965E-2</v>
      </c>
      <c r="F47" s="80">
        <v>0.22750737463126836</v>
      </c>
      <c r="G47" s="83">
        <v>43486</v>
      </c>
      <c r="H47" s="17">
        <v>44083</v>
      </c>
      <c r="I47" s="10">
        <f t="shared" si="3"/>
        <v>-1.3542635483066001E-2</v>
      </c>
      <c r="J47" s="44">
        <v>0.31688763180686697</v>
      </c>
    </row>
    <row r="48" spans="1:10" x14ac:dyDescent="0.2">
      <c r="A48" s="24" t="str">
        <f>VLOOKUP("&lt;Zeilentitel_28&gt;",Uebersetzungen!$B$4:$E$88,Uebersetzungen!$B$2+1,FALSE)</f>
        <v>Frankreich</v>
      </c>
      <c r="B48" s="5"/>
      <c r="C48" s="13">
        <v>1451</v>
      </c>
      <c r="D48" s="17">
        <v>1123</v>
      </c>
      <c r="E48" s="10">
        <f t="shared" si="2"/>
        <v>0.29207479964381111</v>
      </c>
      <c r="F48" s="80">
        <v>0.43919857171196175</v>
      </c>
      <c r="G48" s="83">
        <v>30216</v>
      </c>
      <c r="H48" s="17">
        <v>30055</v>
      </c>
      <c r="I48" s="10">
        <f t="shared" si="3"/>
        <v>5.3568457827317673E-3</v>
      </c>
      <c r="J48" s="44">
        <v>0.326566451250351</v>
      </c>
    </row>
    <row r="49" spans="1:10" x14ac:dyDescent="0.2">
      <c r="A49" s="24" t="str">
        <f>VLOOKUP("&lt;Zeilentitel_29&gt;",Uebersetzungen!$B$4:$E$88,Uebersetzungen!$B$2+1,FALSE)</f>
        <v>Australien</v>
      </c>
      <c r="B49" s="5"/>
      <c r="C49" s="13">
        <v>1205</v>
      </c>
      <c r="D49" s="17">
        <v>1326</v>
      </c>
      <c r="E49" s="10">
        <f t="shared" si="2"/>
        <v>-9.1251885369532437E-2</v>
      </c>
      <c r="F49" s="80">
        <v>1.2650375939849625</v>
      </c>
      <c r="G49" s="83">
        <v>10983</v>
      </c>
      <c r="H49" s="17">
        <v>10409</v>
      </c>
      <c r="I49" s="10">
        <f t="shared" si="3"/>
        <v>5.5144586415601937E-2</v>
      </c>
      <c r="J49" s="44">
        <v>0.92522086663862035</v>
      </c>
    </row>
    <row r="50" spans="1:10" x14ac:dyDescent="0.2">
      <c r="A50" s="24" t="str">
        <f>VLOOKUP("&lt;Zeilentitel_30&gt;",Uebersetzungen!$B$4:$E$88,Uebersetzungen!$B$2+1,FALSE)</f>
        <v>Taiwan</v>
      </c>
      <c r="B50" s="5"/>
      <c r="C50" s="13">
        <v>395</v>
      </c>
      <c r="D50" s="17">
        <v>805</v>
      </c>
      <c r="E50" s="10">
        <f t="shared" si="2"/>
        <v>-0.50931677018633548</v>
      </c>
      <c r="F50" s="80">
        <v>0.73702726473175018</v>
      </c>
      <c r="G50" s="83">
        <v>1214</v>
      </c>
      <c r="H50" s="17">
        <v>1763</v>
      </c>
      <c r="I50" s="10">
        <f t="shared" si="3"/>
        <v>-0.3114010209869541</v>
      </c>
      <c r="J50" s="44">
        <v>0.90401505646173175</v>
      </c>
    </row>
    <row r="51" spans="1:10" x14ac:dyDescent="0.2">
      <c r="A51" s="24" t="str">
        <f>VLOOKUP("&lt;Zeilentitel_31&gt;",Uebersetzungen!$B$4:$E$88,Uebersetzungen!$B$2+1,FALSE)</f>
        <v>Israel</v>
      </c>
      <c r="B51" s="5"/>
      <c r="C51" s="13">
        <v>2651</v>
      </c>
      <c r="D51" s="17">
        <v>1924</v>
      </c>
      <c r="E51" s="10">
        <f t="shared" si="2"/>
        <v>0.37785862785862778</v>
      </c>
      <c r="F51" s="80">
        <v>2.6245556467049496</v>
      </c>
      <c r="G51" s="83">
        <v>11273</v>
      </c>
      <c r="H51" s="17">
        <v>9352</v>
      </c>
      <c r="I51" s="10">
        <f t="shared" si="3"/>
        <v>0.20541060735671524</v>
      </c>
      <c r="J51" s="44">
        <v>0.94221425864029529</v>
      </c>
    </row>
    <row r="52" spans="1:10" x14ac:dyDescent="0.2">
      <c r="A52" s="24" t="str">
        <f>VLOOKUP("&lt;Zeilentitel_32&gt;",Uebersetzungen!$B$4:$E$88,Uebersetzungen!$B$2+1,FALSE)</f>
        <v>Kanada</v>
      </c>
      <c r="B52" s="5"/>
      <c r="C52" s="13">
        <v>403</v>
      </c>
      <c r="D52" s="17">
        <v>434</v>
      </c>
      <c r="E52" s="10">
        <f t="shared" si="2"/>
        <v>-7.1428571428571397E-2</v>
      </c>
      <c r="F52" s="80">
        <v>1.2314507198228131</v>
      </c>
      <c r="G52" s="83">
        <v>9056</v>
      </c>
      <c r="H52" s="17">
        <v>6163</v>
      </c>
      <c r="I52" s="10">
        <f t="shared" si="3"/>
        <v>0.46941424630861595</v>
      </c>
      <c r="J52" s="44">
        <v>1.1577317131284253</v>
      </c>
    </row>
    <row r="53" spans="1:10" x14ac:dyDescent="0.2">
      <c r="A53" s="24" t="str">
        <f>VLOOKUP("&lt;Zeilentitel_33&gt;",Uebersetzungen!$B$4:$E$88,Uebersetzungen!$B$2+1,FALSE)</f>
        <v>Japan</v>
      </c>
      <c r="B53" s="5"/>
      <c r="C53" s="13">
        <v>421</v>
      </c>
      <c r="D53" s="17">
        <v>526</v>
      </c>
      <c r="E53" s="10">
        <f t="shared" si="2"/>
        <v>-0.19961977186311786</v>
      </c>
      <c r="F53" s="80">
        <v>1.2585836909871242</v>
      </c>
      <c r="G53" s="83">
        <v>3112</v>
      </c>
      <c r="H53" s="17">
        <v>2634</v>
      </c>
      <c r="I53" s="10">
        <f t="shared" si="3"/>
        <v>0.18147304479878512</v>
      </c>
      <c r="J53" s="44">
        <v>0.9920624759953911</v>
      </c>
    </row>
    <row r="54" spans="1:10" x14ac:dyDescent="0.2">
      <c r="A54" s="24" t="str">
        <f>VLOOKUP("&lt;Zeilentitel_34&gt;",Uebersetzungen!$B$4:$E$88,Uebersetzungen!$B$2+1,FALSE)</f>
        <v>China</v>
      </c>
      <c r="B54" s="5"/>
      <c r="C54" s="13">
        <v>698</v>
      </c>
      <c r="D54" s="17">
        <v>810</v>
      </c>
      <c r="E54" s="10">
        <f t="shared" si="2"/>
        <v>-0.13827160493827162</v>
      </c>
      <c r="F54" s="80">
        <v>1.6887519260400614</v>
      </c>
      <c r="G54" s="83">
        <v>4570</v>
      </c>
      <c r="H54" s="17">
        <v>3858</v>
      </c>
      <c r="I54" s="10">
        <f t="shared" si="3"/>
        <v>0.18455158113011927</v>
      </c>
      <c r="J54" s="44">
        <v>0.89375103596883809</v>
      </c>
    </row>
    <row r="55" spans="1:10" x14ac:dyDescent="0.2">
      <c r="A55" s="24" t="str">
        <f>VLOOKUP("&lt;Zeilentitel_35&gt;",Uebersetzungen!$B$4:$E$88,Uebersetzungen!$B$2+1,FALSE)</f>
        <v>Polen</v>
      </c>
      <c r="B55" s="5"/>
      <c r="C55" s="13">
        <v>1457</v>
      </c>
      <c r="D55" s="17">
        <v>1763</v>
      </c>
      <c r="E55" s="10">
        <f t="shared" si="2"/>
        <v>-0.17356778218944979</v>
      </c>
      <c r="F55" s="80">
        <v>-0.26018076571544635</v>
      </c>
      <c r="G55" s="83">
        <v>18010</v>
      </c>
      <c r="H55" s="17">
        <v>17668</v>
      </c>
      <c r="I55" s="10">
        <f t="shared" si="3"/>
        <v>1.9357029658138902E-2</v>
      </c>
      <c r="J55" s="44">
        <v>-0.40399367260356489</v>
      </c>
    </row>
    <row r="56" spans="1:10" x14ac:dyDescent="0.2">
      <c r="A56" s="24" t="str">
        <f>VLOOKUP("&lt;Zeilentitel_36&gt;",Uebersetzungen!$B$4:$E$88,Uebersetzungen!$B$2+1,FALSE)</f>
        <v>Brasilien</v>
      </c>
      <c r="B56" s="5"/>
      <c r="C56" s="13">
        <v>1379</v>
      </c>
      <c r="D56" s="17">
        <v>1087</v>
      </c>
      <c r="E56" s="10">
        <f t="shared" si="2"/>
        <v>0.26862925482980682</v>
      </c>
      <c r="F56" s="80">
        <v>2.2325363338021562</v>
      </c>
      <c r="G56" s="83">
        <v>23459</v>
      </c>
      <c r="H56" s="17">
        <v>18771</v>
      </c>
      <c r="I56" s="10">
        <f t="shared" si="3"/>
        <v>0.24974695008257419</v>
      </c>
      <c r="J56" s="44">
        <v>0.95978346226462374</v>
      </c>
    </row>
    <row r="57" spans="1:10" x14ac:dyDescent="0.2">
      <c r="A57" s="24" t="str">
        <f>VLOOKUP("&lt;Zeilentitel_37&gt;",Uebersetzungen!$B$4:$E$88,Uebersetzungen!$B$2+1,FALSE)</f>
        <v>Indien</v>
      </c>
      <c r="B57" s="5"/>
      <c r="C57" s="13">
        <v>955</v>
      </c>
      <c r="D57" s="17">
        <v>998</v>
      </c>
      <c r="E57" s="10">
        <f t="shared" si="2"/>
        <v>-4.3086172344689366E-2</v>
      </c>
      <c r="F57" s="80">
        <v>1.2673314339981006</v>
      </c>
      <c r="G57" s="83">
        <v>4728</v>
      </c>
      <c r="H57" s="17">
        <v>3720</v>
      </c>
      <c r="I57" s="10">
        <f t="shared" si="3"/>
        <v>0.2709677419354839</v>
      </c>
      <c r="J57" s="44">
        <v>1.3649459783913565</v>
      </c>
    </row>
    <row r="58" spans="1:10" x14ac:dyDescent="0.2">
      <c r="A58" s="24" t="str">
        <f>VLOOKUP("&lt;Zeilentitel_38&gt;",Uebersetzungen!$B$4:$E$88,Uebersetzungen!$B$2+1,FALSE)</f>
        <v>Tschechien</v>
      </c>
      <c r="B58" s="5"/>
      <c r="C58" s="13">
        <v>621</v>
      </c>
      <c r="D58" s="17">
        <v>406</v>
      </c>
      <c r="E58" s="10">
        <f t="shared" si="2"/>
        <v>0.52955665024630538</v>
      </c>
      <c r="F58" s="80">
        <v>5.9365404298874047E-2</v>
      </c>
      <c r="G58" s="83">
        <v>10370</v>
      </c>
      <c r="H58" s="17">
        <v>10064</v>
      </c>
      <c r="I58" s="10">
        <f t="shared" si="3"/>
        <v>3.0405405405405483E-2</v>
      </c>
      <c r="J58" s="44">
        <v>0.27239263803681002</v>
      </c>
    </row>
    <row r="59" spans="1:10" x14ac:dyDescent="0.2">
      <c r="A59" s="24" t="str">
        <f>VLOOKUP("&lt;Zeilentitel_39&gt;",Uebersetzungen!$B$4:$E$88,Uebersetzungen!$B$2+1,FALSE)</f>
        <v>Schweden</v>
      </c>
      <c r="B59" s="5"/>
      <c r="C59" s="13">
        <v>495</v>
      </c>
      <c r="D59" s="17">
        <v>396</v>
      </c>
      <c r="E59" s="10">
        <f t="shared" si="2"/>
        <v>0.25</v>
      </c>
      <c r="F59" s="80">
        <v>0.17465590887517801</v>
      </c>
      <c r="G59" s="83">
        <v>8961</v>
      </c>
      <c r="H59" s="17">
        <v>8608</v>
      </c>
      <c r="I59" s="10">
        <f t="shared" si="3"/>
        <v>4.100836431226762E-2</v>
      </c>
      <c r="J59" s="44">
        <v>0.24530976402901716</v>
      </c>
    </row>
    <row r="60" spans="1:10" x14ac:dyDescent="0.2">
      <c r="A60" s="24" t="str">
        <f>VLOOKUP("&lt;Zeilentitel_40&gt;",Uebersetzungen!$B$4:$E$88,Uebersetzungen!$B$2+1,FALSE)</f>
        <v>Dänemark</v>
      </c>
      <c r="B60" s="5"/>
      <c r="C60" s="13">
        <v>490</v>
      </c>
      <c r="D60" s="17">
        <v>267</v>
      </c>
      <c r="E60" s="10">
        <f t="shared" si="2"/>
        <v>0.83520599250936334</v>
      </c>
      <c r="F60" s="80">
        <v>0.10759493670886089</v>
      </c>
      <c r="G60" s="83">
        <v>5494</v>
      </c>
      <c r="H60" s="17">
        <v>5237</v>
      </c>
      <c r="I60" s="10">
        <f t="shared" si="3"/>
        <v>4.9073897269429123E-2</v>
      </c>
      <c r="J60" s="44">
        <v>4.1240239557273961E-2</v>
      </c>
    </row>
    <row r="61" spans="1:10" x14ac:dyDescent="0.2">
      <c r="A61" s="24" t="str">
        <f>VLOOKUP("&lt;Zeilentitel_41&gt;",Uebersetzungen!$B$4:$E$88,Uebersetzungen!$B$2+1,FALSE)</f>
        <v>Spanien</v>
      </c>
      <c r="B61" s="5"/>
      <c r="C61" s="13">
        <v>805</v>
      </c>
      <c r="D61" s="17">
        <v>473</v>
      </c>
      <c r="E61" s="10">
        <f t="shared" si="2"/>
        <v>0.70190274841437628</v>
      </c>
      <c r="F61" s="80">
        <v>0.84717760440569068</v>
      </c>
      <c r="G61" s="83">
        <v>8477</v>
      </c>
      <c r="H61" s="17">
        <v>7342</v>
      </c>
      <c r="I61" s="10">
        <f t="shared" si="3"/>
        <v>0.15459002996458726</v>
      </c>
      <c r="J61" s="44">
        <v>0.78095718307491913</v>
      </c>
    </row>
    <row r="62" spans="1:10" x14ac:dyDescent="0.2">
      <c r="A62" s="24" t="str">
        <f>VLOOKUP("&lt;Zeilentitel_42&gt;",Uebersetzungen!$B$4:$E$88,Uebersetzungen!$B$2+1,FALSE)</f>
        <v>Luxemburg</v>
      </c>
      <c r="B62" s="5"/>
      <c r="C62" s="13">
        <v>296</v>
      </c>
      <c r="D62" s="17">
        <v>277</v>
      </c>
      <c r="E62" s="10">
        <f t="shared" si="2"/>
        <v>6.8592057761732939E-2</v>
      </c>
      <c r="F62" s="80">
        <v>6.5514758819294361E-2</v>
      </c>
      <c r="G62" s="83">
        <v>8350</v>
      </c>
      <c r="H62" s="17">
        <v>9115</v>
      </c>
      <c r="I62" s="10">
        <f t="shared" si="3"/>
        <v>-8.3927591881513997E-2</v>
      </c>
      <c r="J62" s="44">
        <v>-1.4423644389886747E-2</v>
      </c>
    </row>
    <row r="63" spans="1:10" x14ac:dyDescent="0.2">
      <c r="A63" s="24" t="str">
        <f>VLOOKUP("&lt;Zeilentitel_43&gt;",Uebersetzungen!$B$4:$E$88,Uebersetzungen!$B$2+1,FALSE)</f>
        <v>Vereinigte Arabische Emirate</v>
      </c>
      <c r="B63" s="5"/>
      <c r="C63" s="13">
        <v>310</v>
      </c>
      <c r="D63" s="17">
        <v>294</v>
      </c>
      <c r="E63" s="10">
        <f t="shared" si="2"/>
        <v>5.4421768707483054E-2</v>
      </c>
      <c r="F63" s="80">
        <v>1.5</v>
      </c>
      <c r="G63" s="83">
        <v>6392</v>
      </c>
      <c r="H63" s="17">
        <v>4935</v>
      </c>
      <c r="I63" s="10">
        <f t="shared" si="3"/>
        <v>0.2952380952380953</v>
      </c>
      <c r="J63" s="44">
        <v>1.4039112448288829</v>
      </c>
    </row>
    <row r="64" spans="1:10" x14ac:dyDescent="0.2">
      <c r="A64" s="24"/>
      <c r="B64" s="5"/>
      <c r="C64" s="13"/>
      <c r="D64" s="17"/>
      <c r="E64" s="10"/>
      <c r="F64" s="80"/>
      <c r="G64" s="83"/>
      <c r="H64" s="17"/>
      <c r="I64" s="10"/>
      <c r="J64" s="44"/>
    </row>
    <row r="65" spans="1:11" x14ac:dyDescent="0.2">
      <c r="A65" s="123" t="str">
        <f>VLOOKUP("&lt;Zeilentitel_44&gt;",Uebersetzungen!$B$4:$E$88,Uebersetzungen!$B$2+1,FALSE)</f>
        <v>Weitere Ländergruppen:</v>
      </c>
      <c r="B65" s="5"/>
      <c r="C65" s="13"/>
      <c r="D65" s="17"/>
      <c r="E65" s="10"/>
      <c r="F65" s="80"/>
      <c r="G65" s="83"/>
      <c r="H65" s="17"/>
      <c r="I65" s="10"/>
      <c r="J65" s="44"/>
    </row>
    <row r="66" spans="1:11" x14ac:dyDescent="0.2">
      <c r="A66" s="24" t="str">
        <f>VLOOKUP("&lt;Zeilentitel_44.1&gt;",Uebersetzungen!$B$4:$E$88,Uebersetzungen!$B$2+1,FALSE)</f>
        <v>übrige Golfstaaten</v>
      </c>
      <c r="B66" s="5"/>
      <c r="C66" s="13">
        <v>236</v>
      </c>
      <c r="D66" s="17">
        <v>179</v>
      </c>
      <c r="E66" s="10">
        <f t="shared" si="2"/>
        <v>0.31843575418994408</v>
      </c>
      <c r="F66" s="80">
        <v>1.2779922779922783</v>
      </c>
      <c r="G66" s="83">
        <v>7824</v>
      </c>
      <c r="H66" s="17">
        <v>7493</v>
      </c>
      <c r="I66" s="10">
        <f t="shared" si="3"/>
        <v>4.4174562925397121E-2</v>
      </c>
      <c r="J66" s="44">
        <v>1.1235479318206494</v>
      </c>
    </row>
    <row r="67" spans="1:11" x14ac:dyDescent="0.2">
      <c r="A67" s="24" t="str">
        <f>VLOOKUP("&lt;Zeilentitel_44.2&gt;",Uebersetzungen!$B$4:$E$88,Uebersetzungen!$B$2+1,FALSE)</f>
        <v>übriges West- und Nordeuropa</v>
      </c>
      <c r="B67" s="5"/>
      <c r="C67" s="13">
        <v>2467</v>
      </c>
      <c r="D67" s="17">
        <v>1884</v>
      </c>
      <c r="E67" s="10">
        <f t="shared" si="2"/>
        <v>0.30944798301486198</v>
      </c>
      <c r="F67" s="80">
        <v>0.85572438694147723</v>
      </c>
      <c r="G67" s="83">
        <v>26374</v>
      </c>
      <c r="H67" s="17">
        <v>22550</v>
      </c>
      <c r="I67" s="10">
        <f t="shared" si="3"/>
        <v>0.16957871396895796</v>
      </c>
      <c r="J67" s="44">
        <v>0.50323742647394076</v>
      </c>
    </row>
    <row r="68" spans="1:11" x14ac:dyDescent="0.2">
      <c r="A68" s="24" t="str">
        <f>VLOOKUP("&lt;Zeilentitel_44.3&gt;",Uebersetzungen!$B$4:$E$88,Uebersetzungen!$B$2+1,FALSE)</f>
        <v>übriges Südostasien</v>
      </c>
      <c r="B68" s="5"/>
      <c r="C68" s="13">
        <v>1598</v>
      </c>
      <c r="D68" s="17">
        <v>3103</v>
      </c>
      <c r="E68" s="10">
        <f t="shared" si="2"/>
        <v>-0.48501450209474706</v>
      </c>
      <c r="F68" s="80">
        <v>-2.5966109959770778E-2</v>
      </c>
      <c r="G68" s="83">
        <v>14643</v>
      </c>
      <c r="H68" s="17">
        <v>15115</v>
      </c>
      <c r="I68" s="10">
        <f t="shared" si="3"/>
        <v>-3.1227257691035404E-2</v>
      </c>
      <c r="J68" s="44">
        <v>0.45890206236923392</v>
      </c>
    </row>
    <row r="69" spans="1:11" x14ac:dyDescent="0.2">
      <c r="A69" s="24" t="str">
        <f>VLOOKUP("&lt;Zeilentitel_44.4&gt;",Uebersetzungen!$B$4:$E$88,Uebersetzungen!$B$2+1,FALSE)</f>
        <v>übriges Osteuropa</v>
      </c>
      <c r="B69" s="5"/>
      <c r="C69" s="13">
        <v>1254</v>
      </c>
      <c r="D69" s="17">
        <v>1096</v>
      </c>
      <c r="E69" s="10">
        <f t="shared" si="2"/>
        <v>0.1441605839416058</v>
      </c>
      <c r="F69" s="80">
        <v>0.64351245085190034</v>
      </c>
      <c r="G69" s="83">
        <v>30246</v>
      </c>
      <c r="H69" s="17">
        <v>25109</v>
      </c>
      <c r="I69" s="10">
        <f t="shared" si="3"/>
        <v>0.20458799633597513</v>
      </c>
      <c r="J69" s="44">
        <v>0.18728164867517183</v>
      </c>
    </row>
    <row r="70" spans="1:11" x14ac:dyDescent="0.2">
      <c r="A70" s="24" t="str">
        <f>VLOOKUP("&lt;Zeilentitel_44.5&gt;",Uebersetzungen!$B$4:$E$88,Uebersetzungen!$B$2+1,FALSE)</f>
        <v>übriges Zentral- und Südamerika</v>
      </c>
      <c r="B70" s="5"/>
      <c r="C70" s="13">
        <v>1473</v>
      </c>
      <c r="D70" s="17">
        <v>747</v>
      </c>
      <c r="E70" s="10">
        <f t="shared" si="2"/>
        <v>0.97188755020080331</v>
      </c>
      <c r="F70" s="80">
        <v>3.4853836784409262</v>
      </c>
      <c r="G70" s="83">
        <v>10662</v>
      </c>
      <c r="H70" s="17">
        <v>8162</v>
      </c>
      <c r="I70" s="10">
        <f t="shared" si="3"/>
        <v>0.30629747610879687</v>
      </c>
      <c r="J70" s="44">
        <v>1.3602071988311861</v>
      </c>
    </row>
    <row r="71" spans="1:11" x14ac:dyDescent="0.2">
      <c r="A71" s="24" t="str">
        <f>VLOOKUP("&lt;Zeilentitel_44.6&gt;",Uebersetzungen!$B$4:$E$88,Uebersetzungen!$B$2+1,FALSE)</f>
        <v>Afrikanischer Kontinent</v>
      </c>
      <c r="B71" s="5"/>
      <c r="C71" s="13">
        <v>199</v>
      </c>
      <c r="D71" s="17">
        <v>143</v>
      </c>
      <c r="E71" s="10">
        <f t="shared" si="2"/>
        <v>0.39160839160839167</v>
      </c>
      <c r="F71" s="80">
        <v>0.84259259259259256</v>
      </c>
      <c r="G71" s="83">
        <v>3897</v>
      </c>
      <c r="H71" s="17">
        <v>4616</v>
      </c>
      <c r="I71" s="10">
        <f t="shared" si="3"/>
        <v>-0.15576256499133445</v>
      </c>
      <c r="J71" s="44">
        <v>0.44045242847638044</v>
      </c>
    </row>
    <row r="72" spans="1:11" x14ac:dyDescent="0.2">
      <c r="A72" s="24" t="str">
        <f>VLOOKUP("&lt;Zeilentitel_44.7&gt;",Uebersetzungen!$B$4:$E$88,Uebersetzungen!$B$2+1,FALSE)</f>
        <v>Südosteuropa</v>
      </c>
      <c r="B72" s="5"/>
      <c r="C72" s="13">
        <v>534</v>
      </c>
      <c r="D72" s="17">
        <v>638</v>
      </c>
      <c r="E72" s="10">
        <f t="shared" si="2"/>
        <v>-0.1630094043887147</v>
      </c>
      <c r="F72" s="80">
        <v>0.43548387096774199</v>
      </c>
      <c r="G72" s="83">
        <v>20268</v>
      </c>
      <c r="H72" s="17">
        <v>15149</v>
      </c>
      <c r="I72" s="10">
        <f t="shared" si="3"/>
        <v>0.33791009307545061</v>
      </c>
      <c r="J72" s="44">
        <v>0.92866930572472617</v>
      </c>
    </row>
    <row r="73" spans="1:11" x14ac:dyDescent="0.2">
      <c r="A73" s="24" t="str">
        <f>VLOOKUP("&lt;Zeilentitel_44.8&gt;",Uebersetzungen!$B$4:$E$88,Uebersetzungen!$B$2+1,FALSE)</f>
        <v>übrige Herkunftsländer</v>
      </c>
      <c r="B73" s="7"/>
      <c r="C73" s="14">
        <v>0</v>
      </c>
      <c r="D73" s="18">
        <v>0</v>
      </c>
      <c r="E73" s="18">
        <v>0</v>
      </c>
      <c r="F73" s="18">
        <v>0</v>
      </c>
      <c r="G73" s="84">
        <v>0</v>
      </c>
      <c r="H73" s="18">
        <v>0</v>
      </c>
      <c r="I73" s="18">
        <v>0</v>
      </c>
      <c r="J73" s="131">
        <v>0</v>
      </c>
      <c r="K73" s="132"/>
    </row>
    <row r="74" spans="1:11" ht="13.5" thickBot="1" x14ac:dyDescent="0.25">
      <c r="A74" s="26" t="str">
        <f>VLOOKUP("&lt;Zeilentitel_48&gt;",Uebersetzungen!$B$4:$E$88,Uebersetzungen!$B$2+1,FALSE)</f>
        <v>Graubünden</v>
      </c>
      <c r="B74" s="6"/>
      <c r="C74" s="30">
        <v>187827</v>
      </c>
      <c r="D74" s="40">
        <v>162288</v>
      </c>
      <c r="E74" s="65">
        <f t="shared" si="2"/>
        <v>0.15736838213546278</v>
      </c>
      <c r="F74" s="82">
        <v>0.15391278705444367</v>
      </c>
      <c r="G74" s="79">
        <v>2343590</v>
      </c>
      <c r="H74" s="40">
        <v>2345106</v>
      </c>
      <c r="I74" s="65">
        <f t="shared" si="3"/>
        <v>-6.4645265501861449E-4</v>
      </c>
      <c r="J74" s="66">
        <v>0.11737801999922559</v>
      </c>
    </row>
    <row r="76" spans="1:11" x14ac:dyDescent="0.2">
      <c r="A76" s="4" t="str">
        <f>VLOOKUP("&lt;Legende_1.1&gt;",Uebersetzungen!$B$4:$E$91,Uebersetzungen!$B$2+1,FALSE)</f>
        <v>Aktuelle Zuordnung der übrigen Länder zu den Ländergruppen:</v>
      </c>
      <c r="E76" s="67" t="s">
        <v>579</v>
      </c>
      <c r="F76" s="49"/>
    </row>
    <row r="78" spans="1:11" ht="10.5" customHeight="1" x14ac:dyDescent="0.2"/>
    <row r="79" spans="1:11" ht="18" x14ac:dyDescent="0.25">
      <c r="A79" s="2" t="str">
        <f>VLOOKUP("&lt;T4Titel3&gt;",Uebersetzungen!$B$4:$E$315,Uebersetzungen!$B$2+1,FALSE)</f>
        <v>Hotel- und Kurbetriebe: Logiernächte im April 2025, nach Schweizer Tourismusregionen</v>
      </c>
      <c r="B79" s="3"/>
      <c r="C79" s="3"/>
      <c r="D79" s="3"/>
      <c r="E79" s="3"/>
      <c r="F79" s="3"/>
    </row>
    <row r="80" spans="1:11" s="119" customFormat="1" x14ac:dyDescent="0.2">
      <c r="A80" s="116" t="str">
        <f>VLOOKUP("&lt;Titelprov&gt;",Uebersetzungen!$B$4:$E$315,Uebersetzungen!$B$2+1,FALSE)</f>
        <v>provisorische Ergebnisse</v>
      </c>
      <c r="B80" s="117"/>
      <c r="C80" s="118"/>
      <c r="D80" s="118"/>
      <c r="E80" s="118"/>
      <c r="F80" s="118"/>
      <c r="G80" s="118"/>
    </row>
    <row r="81" spans="1:10" ht="18.75" customHeight="1" thickBot="1" x14ac:dyDescent="0.3">
      <c r="A81" s="50"/>
    </row>
    <row r="82" spans="1:10" ht="51" x14ac:dyDescent="0.2">
      <c r="A82" s="8"/>
      <c r="B82" s="9"/>
      <c r="C82" s="20" t="str">
        <f>VLOOKUP("&lt;T4SpaltenTitel_1&gt;",Uebersetzungen!$B$4:$E$315,Uebersetzungen!$B$2+1,FALSE)</f>
        <v>April 2025</v>
      </c>
      <c r="D82" s="21" t="str">
        <f>VLOOKUP("&lt;T4SpaltenTitel_2&gt;",Uebersetzungen!$B$4:$E$315,Uebersetzungen!$B$2+1,FALSE)</f>
        <v>April 2024</v>
      </c>
      <c r="E82" s="22" t="str">
        <f>VLOOKUP("&lt;SpaltenTitel_3&gt;",Uebersetzungen!$B$4:$E$315,Uebersetzungen!$B$2+1,FALSE)</f>
        <v>Veränderung 25/24 in %</v>
      </c>
      <c r="F82" s="22" t="str">
        <f>VLOOKUP("&lt;SpaltenTitel_4&gt;",Uebersetzungen!$B$4:$E$315,Uebersetzungen!$B$2+1,FALSE)</f>
        <v>Veränderung zum
5-Jahresmittel 
in %</v>
      </c>
      <c r="G82" s="75" t="str">
        <f>VLOOKUP("&lt;T4SpaltenTitel_5&gt;",Uebersetzungen!$B$4:$E$315,Uebersetzungen!$B$2+1,FALSE)</f>
        <v>Januar-April 25</v>
      </c>
      <c r="H82" s="22" t="str">
        <f>VLOOKUP("&lt;T4SpaltenTitel_6&gt;",Uebersetzungen!$B$4:$E$315,Uebersetzungen!$B$2+1,FALSE)</f>
        <v>Januar-April 24</v>
      </c>
      <c r="I82" s="22" t="str">
        <f>VLOOKUP("&lt;SpaltenTitel_7&gt;",Uebersetzungen!$B$4:$E$315,Uebersetzungen!$B$2+1,FALSE)</f>
        <v>Veränderung 25/24 in %</v>
      </c>
      <c r="J82" s="23" t="str">
        <f>VLOOKUP("&lt;SpaltenTitel_8&gt;",Uebersetzungen!$B$4:$E$315,Uebersetzungen!$B$2+1,FALSE)</f>
        <v>Veränderung zum
5-Jahresmittel 
in %</v>
      </c>
    </row>
    <row r="83" spans="1:10" x14ac:dyDescent="0.2">
      <c r="A83" s="24" t="str">
        <f>VLOOKUP("&lt;Zeilentitel_49&gt;",Uebersetzungen!$B$4:$E$88,Uebersetzungen!$B$2+1,FALSE)</f>
        <v>Aargau und Solothurn Region</v>
      </c>
      <c r="B83" s="5"/>
      <c r="C83" s="13">
        <v>102234</v>
      </c>
      <c r="D83" s="17">
        <v>94389</v>
      </c>
      <c r="E83" s="10">
        <f>C83/D83-1</f>
        <v>8.3113498394939977E-2</v>
      </c>
      <c r="F83" s="80">
        <v>0.49120887776445565</v>
      </c>
      <c r="G83" s="83">
        <v>339453</v>
      </c>
      <c r="H83" s="17">
        <v>324927</v>
      </c>
      <c r="I83" s="10">
        <f>G83/H83-1</f>
        <v>4.4705426141871785E-2</v>
      </c>
      <c r="J83" s="44">
        <v>0.3685512957278354</v>
      </c>
    </row>
    <row r="84" spans="1:10" x14ac:dyDescent="0.2">
      <c r="A84" s="24" t="str">
        <f>VLOOKUP("&lt;Zeilentitel_50&gt;",Uebersetzungen!$B$4:$E$88,Uebersetzungen!$B$2+1,FALSE)</f>
        <v>Basel Region</v>
      </c>
      <c r="B84" s="5"/>
      <c r="C84" s="13">
        <v>145210</v>
      </c>
      <c r="D84" s="17">
        <v>132856</v>
      </c>
      <c r="E84" s="10">
        <f t="shared" ref="E84:E96" si="4">C84/D84-1</f>
        <v>9.2987896670078785E-2</v>
      </c>
      <c r="F84" s="80">
        <v>0.50048462729164656</v>
      </c>
      <c r="G84" s="83">
        <v>511123</v>
      </c>
      <c r="H84" s="17">
        <v>467123</v>
      </c>
      <c r="I84" s="10">
        <f t="shared" ref="I84:I96" si="5">G84/H84-1</f>
        <v>9.4193606394889606E-2</v>
      </c>
      <c r="J84" s="44">
        <v>0.49725315768228273</v>
      </c>
    </row>
    <row r="85" spans="1:10" x14ac:dyDescent="0.2">
      <c r="A85" s="24" t="str">
        <f>VLOOKUP("&lt;Zeilentitel_51&gt;",Uebersetzungen!$B$4:$E$88,Uebersetzungen!$B$2+1,FALSE)</f>
        <v>Bern Region</v>
      </c>
      <c r="B85" s="5"/>
      <c r="C85" s="13">
        <v>378439</v>
      </c>
      <c r="D85" s="17">
        <v>358072</v>
      </c>
      <c r="E85" s="10">
        <f t="shared" si="4"/>
        <v>5.6879621975468586E-2</v>
      </c>
      <c r="F85" s="80">
        <v>0.49062742487562971</v>
      </c>
      <c r="G85" s="83">
        <v>1568085</v>
      </c>
      <c r="H85" s="17">
        <v>1621620</v>
      </c>
      <c r="I85" s="10">
        <f t="shared" si="5"/>
        <v>-3.301328301328299E-2</v>
      </c>
      <c r="J85" s="44">
        <v>0.21256955078125306</v>
      </c>
    </row>
    <row r="86" spans="1:10" x14ac:dyDescent="0.2">
      <c r="A86" s="24" t="str">
        <f>VLOOKUP("&lt;Zeilentitel_52&gt;",Uebersetzungen!$B$4:$E$88,Uebersetzungen!$B$2+1,FALSE)</f>
        <v>Fribourg Region</v>
      </c>
      <c r="B86" s="5"/>
      <c r="C86" s="13">
        <v>37028</v>
      </c>
      <c r="D86" s="17">
        <v>39012</v>
      </c>
      <c r="E86" s="10">
        <f t="shared" si="4"/>
        <v>-5.0856146826617432E-2</v>
      </c>
      <c r="F86" s="80">
        <v>0.26172173154508771</v>
      </c>
      <c r="G86" s="83">
        <v>126968</v>
      </c>
      <c r="H86" s="17">
        <v>132755</v>
      </c>
      <c r="I86" s="10">
        <f t="shared" si="5"/>
        <v>-4.3591578471620651E-2</v>
      </c>
      <c r="J86" s="44">
        <v>0.24243100323700606</v>
      </c>
    </row>
    <row r="87" spans="1:10" x14ac:dyDescent="0.2">
      <c r="A87" s="24" t="str">
        <f>VLOOKUP("&lt;Zeilentitel_53&gt;",Uebersetzungen!$B$4:$E$88,Uebersetzungen!$B$2+1,FALSE)</f>
        <v>Genf</v>
      </c>
      <c r="B87" s="5"/>
      <c r="C87" s="13">
        <v>286782</v>
      </c>
      <c r="D87" s="17">
        <v>291380</v>
      </c>
      <c r="E87" s="10">
        <f t="shared" si="4"/>
        <v>-1.5780080993891166E-2</v>
      </c>
      <c r="F87" s="80">
        <v>0.69913876459881696</v>
      </c>
      <c r="G87" s="83">
        <v>1099289</v>
      </c>
      <c r="H87" s="17">
        <v>1067284</v>
      </c>
      <c r="I87" s="10">
        <f t="shared" si="5"/>
        <v>2.9987332331413263E-2</v>
      </c>
      <c r="J87" s="44">
        <v>0.54714599163719324</v>
      </c>
    </row>
    <row r="88" spans="1:10" x14ac:dyDescent="0.2">
      <c r="A88" s="106" t="str">
        <f>VLOOKUP("&lt;Zeilentitel_54&gt;",Uebersetzungen!$B$4:$E$88,Uebersetzungen!$B$2+1,FALSE)</f>
        <v>Graubünden</v>
      </c>
      <c r="B88" s="60"/>
      <c r="C88" s="61">
        <v>187827</v>
      </c>
      <c r="D88" s="62">
        <v>162288</v>
      </c>
      <c r="E88" s="63">
        <f t="shared" si="4"/>
        <v>0.15736838213546278</v>
      </c>
      <c r="F88" s="85">
        <v>0.15391278705444367</v>
      </c>
      <c r="G88" s="87">
        <v>2343590</v>
      </c>
      <c r="H88" s="62">
        <v>2345106</v>
      </c>
      <c r="I88" s="63">
        <f t="shared" si="5"/>
        <v>-6.4645265501861449E-4</v>
      </c>
      <c r="J88" s="64">
        <v>0.11737801999922559</v>
      </c>
    </row>
    <row r="89" spans="1:10" x14ac:dyDescent="0.2">
      <c r="A89" s="24" t="str">
        <f>VLOOKUP("&lt;Zeilentitel_55&gt;",Uebersetzungen!$B$4:$E$88,Uebersetzungen!$B$2+1,FALSE)</f>
        <v>Jura &amp; Drei-Seen-Land</v>
      </c>
      <c r="B89" s="5"/>
      <c r="C89" s="13">
        <v>48116</v>
      </c>
      <c r="D89" s="17">
        <v>47560</v>
      </c>
      <c r="E89" s="10">
        <f t="shared" si="4"/>
        <v>1.1690496215307045E-2</v>
      </c>
      <c r="F89" s="80">
        <v>0.21177015755329021</v>
      </c>
      <c r="G89" s="83">
        <v>147186</v>
      </c>
      <c r="H89" s="17">
        <v>149180</v>
      </c>
      <c r="I89" s="10">
        <f t="shared" si="5"/>
        <v>-1.336640300308356E-2</v>
      </c>
      <c r="J89" s="44">
        <v>0.18332700879218411</v>
      </c>
    </row>
    <row r="90" spans="1:10" x14ac:dyDescent="0.2">
      <c r="A90" s="24" t="str">
        <f>VLOOKUP("&lt;Zeilentitel_56&gt;",Uebersetzungen!$B$4:$E$88,Uebersetzungen!$B$2+1,FALSE)</f>
        <v>Luzern / Vierwaldstättersee</v>
      </c>
      <c r="B90" s="5"/>
      <c r="C90" s="13">
        <v>303690</v>
      </c>
      <c r="D90" s="17">
        <v>281891</v>
      </c>
      <c r="E90" s="10">
        <f t="shared" si="4"/>
        <v>7.7331308910181695E-2</v>
      </c>
      <c r="F90" s="80">
        <v>0.44829046500381997</v>
      </c>
      <c r="G90" s="83">
        <v>1065643</v>
      </c>
      <c r="H90" s="17">
        <v>1043932</v>
      </c>
      <c r="I90" s="10">
        <f t="shared" si="5"/>
        <v>2.0797331626964288E-2</v>
      </c>
      <c r="J90" s="44">
        <v>0.28681418867924524</v>
      </c>
    </row>
    <row r="91" spans="1:10" x14ac:dyDescent="0.2">
      <c r="A91" s="24" t="str">
        <f>VLOOKUP("&lt;Zeilentitel_57&gt;",Uebersetzungen!$B$4:$E$88,Uebersetzungen!$B$2+1,FALSE)</f>
        <v>Ostschweiz</v>
      </c>
      <c r="B91" s="5"/>
      <c r="C91" s="13">
        <v>141247</v>
      </c>
      <c r="D91" s="17">
        <v>142650</v>
      </c>
      <c r="E91" s="10">
        <f t="shared" si="4"/>
        <v>-9.8352611286365299E-3</v>
      </c>
      <c r="F91" s="80">
        <v>0.18802579143122933</v>
      </c>
      <c r="G91" s="83">
        <v>535633</v>
      </c>
      <c r="H91" s="17">
        <v>541942</v>
      </c>
      <c r="I91" s="10">
        <f t="shared" si="5"/>
        <v>-1.1641467168073349E-2</v>
      </c>
      <c r="J91" s="44">
        <v>0.15987889150473533</v>
      </c>
    </row>
    <row r="92" spans="1:10" x14ac:dyDescent="0.2">
      <c r="A92" s="24" t="str">
        <f>VLOOKUP("&lt;Zeilentitel_58&gt;",Uebersetzungen!$B$4:$E$88,Uebersetzungen!$B$2+1,FALSE)</f>
        <v>Tessin</v>
      </c>
      <c r="B92" s="5"/>
      <c r="C92" s="13">
        <v>209044</v>
      </c>
      <c r="D92" s="17">
        <v>218002</v>
      </c>
      <c r="E92" s="10">
        <f t="shared" si="4"/>
        <v>-4.109136613425568E-2</v>
      </c>
      <c r="F92" s="80">
        <v>-3.5185694584700222E-2</v>
      </c>
      <c r="G92" s="83">
        <v>472316</v>
      </c>
      <c r="H92" s="17">
        <v>490407</v>
      </c>
      <c r="I92" s="10">
        <f t="shared" si="5"/>
        <v>-3.6889767071024648E-2</v>
      </c>
      <c r="J92" s="44">
        <v>-1.1779061185561712E-3</v>
      </c>
    </row>
    <row r="93" spans="1:10" x14ac:dyDescent="0.2">
      <c r="A93" s="24" t="str">
        <f>VLOOKUP("&lt;Zeilentitel_59&gt;",Uebersetzungen!$B$4:$E$88,Uebersetzungen!$B$2+1,FALSE)</f>
        <v>Waadt</v>
      </c>
      <c r="B93" s="5"/>
      <c r="C93" s="13">
        <v>216616</v>
      </c>
      <c r="D93" s="17">
        <v>203396</v>
      </c>
      <c r="E93" s="10">
        <f t="shared" si="4"/>
        <v>6.4996361777026168E-2</v>
      </c>
      <c r="F93" s="80">
        <v>0.41614812625930475</v>
      </c>
      <c r="G93" s="83">
        <v>810300</v>
      </c>
      <c r="H93" s="17">
        <v>776375</v>
      </c>
      <c r="I93" s="10">
        <f t="shared" si="5"/>
        <v>4.3696667203348971E-2</v>
      </c>
      <c r="J93" s="44">
        <v>0.28575944064465997</v>
      </c>
    </row>
    <row r="94" spans="1:10" x14ac:dyDescent="0.2">
      <c r="A94" s="24" t="str">
        <f>VLOOKUP("&lt;Zeilentitel_60&gt;",Uebersetzungen!$B$4:$E$88,Uebersetzungen!$B$2+1,FALSE)</f>
        <v>Wallis</v>
      </c>
      <c r="B94" s="5"/>
      <c r="C94" s="13">
        <v>261994</v>
      </c>
      <c r="D94" s="17">
        <v>244883</v>
      </c>
      <c r="E94" s="33">
        <f t="shared" si="4"/>
        <v>6.987418481478902E-2</v>
      </c>
      <c r="F94" s="80">
        <v>0.22021921600517147</v>
      </c>
      <c r="G94" s="83">
        <v>1754250</v>
      </c>
      <c r="H94" s="17">
        <v>1761795</v>
      </c>
      <c r="I94" s="33">
        <f t="shared" si="5"/>
        <v>-4.2825640894655903E-3</v>
      </c>
      <c r="J94" s="44">
        <v>0.14760176906974931</v>
      </c>
    </row>
    <row r="95" spans="1:10" x14ac:dyDescent="0.2">
      <c r="A95" s="24" t="str">
        <f>VLOOKUP("&lt;Zeilentitel_61&gt;",Uebersetzungen!$B$4:$E$88,Uebersetzungen!$B$2+1,FALSE)</f>
        <v>Zürich Region</v>
      </c>
      <c r="B95" s="7"/>
      <c r="C95" s="14">
        <v>579232</v>
      </c>
      <c r="D95" s="18">
        <v>560235</v>
      </c>
      <c r="E95" s="43">
        <f t="shared" si="4"/>
        <v>3.3908984622524452E-2</v>
      </c>
      <c r="F95" s="11">
        <v>0.68105389755424817</v>
      </c>
      <c r="G95" s="84">
        <v>2019993</v>
      </c>
      <c r="H95" s="18">
        <v>1928621</v>
      </c>
      <c r="I95" s="43">
        <f t="shared" si="5"/>
        <v>4.7376856313396942E-2</v>
      </c>
      <c r="J95" s="48">
        <v>0.54076112948250521</v>
      </c>
    </row>
    <row r="96" spans="1:10" ht="13.5" thickBot="1" x14ac:dyDescent="0.25">
      <c r="A96" s="71" t="str">
        <f>VLOOKUP("&lt;Zeilentitel_62&gt;",Uebersetzungen!$B$4:$E$88,Uebersetzungen!$B$2+1,FALSE)</f>
        <v>Schweiz</v>
      </c>
      <c r="B96" s="39"/>
      <c r="C96" s="30">
        <v>2897459</v>
      </c>
      <c r="D96" s="40">
        <v>2776614</v>
      </c>
      <c r="E96" s="41">
        <f t="shared" si="4"/>
        <v>4.3522434159015244E-2</v>
      </c>
      <c r="F96" s="86">
        <v>0.39481528629428109</v>
      </c>
      <c r="G96" s="79">
        <v>12793829</v>
      </c>
      <c r="H96" s="40">
        <v>12651067</v>
      </c>
      <c r="I96" s="41">
        <f t="shared" si="5"/>
        <v>1.1284581766897617E-2</v>
      </c>
      <c r="J96" s="45">
        <v>0.26050348220465325</v>
      </c>
    </row>
    <row r="97" spans="1:6" x14ac:dyDescent="0.2">
      <c r="A97" s="34"/>
      <c r="B97" s="35"/>
      <c r="C97" s="29"/>
      <c r="D97" s="36"/>
      <c r="E97" s="37"/>
      <c r="F97" s="38"/>
    </row>
    <row r="98" spans="1:6" x14ac:dyDescent="0.2">
      <c r="A98" s="4" t="str">
        <f>VLOOKUP("&lt;Quelle_1&gt;",Uebersetzungen!$B$4:$E$97,Uebersetzungen!$B$2+1,FALSE)</f>
        <v>Quelle: BFS (HESTA)</v>
      </c>
    </row>
    <row r="99" spans="1:6" ht="12.75" customHeight="1" x14ac:dyDescent="0.2">
      <c r="A99" s="4" t="str">
        <f>VLOOKUP("&lt;T4Aktualisierung&gt;",Uebersetzungen!$B$4:$E$315,Uebersetzungen!$B$2+1,FALSE)</f>
        <v>Letztmals aktualisiert am: 05.06.2025</v>
      </c>
    </row>
    <row r="100" spans="1:6" x14ac:dyDescent="0.2">
      <c r="A100" s="4" t="str">
        <f>VLOOKUP("&lt;Legende_2&gt;",Uebersetzungen!$B$4:$E$97,Uebersetzungen!$B$2+1,FALSE)</f>
        <v>Kontakt: Luzius Stricker, 081 257 23 74, luzius.stricker@awt.gr.ch</v>
      </c>
    </row>
    <row r="101" spans="1:6" x14ac:dyDescent="0.2">
      <c r="A101" s="31" t="str">
        <f>VLOOKUP("&lt;T4Legende_3&gt;",Uebersetzungen!$B$4:$E$315,Uebersetzungen!$B$2+1,FALSE)</f>
        <v>Daten des Mai 2025 erscheinen am 7. Juli 2025.</v>
      </c>
    </row>
    <row r="103" spans="1:6" x14ac:dyDescent="0.2">
      <c r="A103" s="4" t="s">
        <v>47</v>
      </c>
    </row>
  </sheetData>
  <sheetProtection sheet="1" objects="1" scenarios="1"/>
  <mergeCells count="1">
    <mergeCell ref="A7:D7"/>
  </mergeCells>
  <hyperlinks>
    <hyperlink ref="E33" r:id="rId1" xr:uid="{00000000-0004-0000-0800-000000000000}"/>
    <hyperlink ref="E76" location="Länder_Pajais_Paesi!A1" display="Länder / Pajais / Paese" xr:uid="{00000000-0004-0000-0800-000001000000}"/>
  </hyperlinks>
  <pageMargins left="0.70866141732283472" right="0.70866141732283472" top="0.78740157480314965" bottom="0.78740157480314965" header="0.31496062992125984" footer="0.31496062992125984"/>
  <pageSetup paperSize="9" scale="82" fitToHeight="2" orientation="landscape" r:id="rId2"/>
  <rowBreaks count="2" manualBreakCount="2">
    <brk id="35" max="9" man="1"/>
    <brk id="78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C7E3B5B685244E9F316DC5AF52F3F3" ma:contentTypeVersion="6" ma:contentTypeDescription="Ein neues Dokument erstellen." ma:contentTypeScope="" ma:versionID="5922a524ea719d7172c03bd4767f06ed">
  <xsd:schema xmlns:xsd="http://www.w3.org/2001/XMLSchema" xmlns:xs="http://www.w3.org/2001/XMLSchema" xmlns:p="http://schemas.microsoft.com/office/2006/metadata/properties" xmlns:ns1="http://schemas.microsoft.com/sharepoint/v3" xmlns:ns2="a85bdc46-611b-4a7e-936f-e8248c6e1bca" targetNamespace="http://schemas.microsoft.com/office/2006/metadata/properties" ma:root="true" ma:fieldsID="2f5bd5d7e51ad7ad358f4884b85fdf5e" ns1:_="" ns2:_="">
    <xsd:import namespace="http://schemas.microsoft.com/sharepoint/v3"/>
    <xsd:import namespace="a85bdc46-611b-4a7e-936f-e8248c6e1bc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bdc46-611b-4a7e-936f-e8248c6e1bca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a85bdc46-611b-4a7e-936f-e8248c6e1bca">1001</Benutzerdefinierte_x0020_ID>
    <Kategorie xmlns="a85bdc46-611b-4a7e-936f-e8248c6e1bca">Beherbergungsstatistik</Kategorie>
    <Titel_DE xmlns="a85bdc46-611b-4a7e-936f-e8248c6e1bca">Beherbergungsstatistik Graubünden, Monatsdaten 2025</Titel_DE>
    <PublishingExpirationDate xmlns="http://schemas.microsoft.com/sharepoint/v3" xsi:nil="true"/>
    <PublishingStartDate xmlns="http://schemas.microsoft.com/sharepoint/v3" xsi:nil="true"/>
    <Titel_IT xmlns="a85bdc46-611b-4a7e-936f-e8248c6e1bca">Statistica della ricettività turistica nei Grigioni, dati mensili 2025</Titel_IT>
    <Titel_RM xmlns="a85bdc46-611b-4a7e-936f-e8248c6e1bca">Statistica dals alloschaments dal Grischun, datas mensilas dal 2025</Titel_RM>
  </documentManagement>
</p:properties>
</file>

<file path=customXml/itemProps1.xml><?xml version="1.0" encoding="utf-8"?>
<ds:datastoreItem xmlns:ds="http://schemas.openxmlformats.org/officeDocument/2006/customXml" ds:itemID="{2187B627-262A-4B11-B04F-D33B05D0CB1F}"/>
</file>

<file path=customXml/itemProps2.xml><?xml version="1.0" encoding="utf-8"?>
<ds:datastoreItem xmlns:ds="http://schemas.openxmlformats.org/officeDocument/2006/customXml" ds:itemID="{5A4961C7-63B7-41E0-B8CD-4CC50B361F61}"/>
</file>

<file path=customXml/itemProps3.xml><?xml version="1.0" encoding="utf-8"?>
<ds:datastoreItem xmlns:ds="http://schemas.openxmlformats.org/officeDocument/2006/customXml" ds:itemID="{85BA5DCD-D0AE-4DAA-A498-60FADA5F031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13</vt:i4>
      </vt:variant>
    </vt:vector>
  </HeadingPairs>
  <TitlesOfParts>
    <vt:vector size="27" baseType="lpstr">
      <vt:lpstr>Dezember</vt:lpstr>
      <vt:lpstr>November</vt:lpstr>
      <vt:lpstr>Oktober</vt:lpstr>
      <vt:lpstr>September</vt:lpstr>
      <vt:lpstr>August</vt:lpstr>
      <vt:lpstr>Juli</vt:lpstr>
      <vt:lpstr>Juni</vt:lpstr>
      <vt:lpstr>Mai</vt:lpstr>
      <vt:lpstr>April</vt:lpstr>
      <vt:lpstr>März</vt:lpstr>
      <vt:lpstr>Februar</vt:lpstr>
      <vt:lpstr>Januar</vt:lpstr>
      <vt:lpstr>Länder_Pajais_Paesi</vt:lpstr>
      <vt:lpstr>Uebersetzungen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Länder_Pajais_Paesi!Druckbereich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Beherbergungsstatistik Graubünden Monatsauswertungen</dc:title>
  <dc:creator>Luzius Stricker</dc:creator>
  <cp:lastModifiedBy>Monstein Urs (AWT GR)</cp:lastModifiedBy>
  <cp:lastPrinted>2025-01-30T06:15:38Z</cp:lastPrinted>
  <dcterms:created xsi:type="dcterms:W3CDTF">2012-02-14T12:10:20Z</dcterms:created>
  <dcterms:modified xsi:type="dcterms:W3CDTF">2025-12-08T06:55:43Z</dcterms:modified>
  <cp:category>Beherbergungsstatistik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2025-05-06T08:19:03Z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35d790df-5756-441a-9506-a0bcfe53cea3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0x01010061C7E3B5B685244E9F316DC5AF52F3F3</vt:lpwstr>
  </property>
</Properties>
</file>