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ustom.xml" ContentType="application/vnd.openxmlformats-officedocument.custom-properties+xml"/>
  <Override PartName="/xl/ctrlProps/ctrlProp21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25.xml" ContentType="application/vnd.ms-excel.controlproperties+xml"/>
  <Override PartName="/xl/ctrlProps/ctrlProp23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24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alcChain.xml" ContentType="application/vnd.openxmlformats-officedocument.spreadsheetml.calcChain+xml"/>
  <Override PartName="/xl/ctrlProps/ctrlProp22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10 TOURISMUS\HESTA ab 2017\Monatsdaten\Monatsauswertungen 2026\"/>
    </mc:Choice>
  </mc:AlternateContent>
  <xr:revisionPtr revIDLastSave="0" documentId="13_ncr:1_{130D427C-540C-4541-BE6F-99DF61F51DCB}" xr6:coauthVersionLast="47" xr6:coauthVersionMax="47" xr10:uidLastSave="{00000000-0000-0000-0000-000000000000}"/>
  <workbookProtection lockStructure="1"/>
  <bookViews>
    <workbookView xWindow="-120" yWindow="-120" windowWidth="29040" windowHeight="17520" firstSheet="11" activeTab="11" xr2:uid="{00000000-000D-0000-FFFF-FFFF00000000}"/>
  </bookViews>
  <sheets>
    <sheet name="Dezember" sheetId="18" state="hidden" r:id="rId1"/>
    <sheet name="November" sheetId="17" state="hidden" r:id="rId2"/>
    <sheet name="Oktober" sheetId="16" state="hidden" r:id="rId3"/>
    <sheet name="September" sheetId="15" state="hidden" r:id="rId4"/>
    <sheet name="August" sheetId="14" state="hidden" r:id="rId5"/>
    <sheet name="Juli" sheetId="13" state="hidden" r:id="rId6"/>
    <sheet name="Juni" sheetId="12" state="hidden" r:id="rId7"/>
    <sheet name="Mai" sheetId="11" state="hidden" r:id="rId8"/>
    <sheet name="April" sheetId="10" state="hidden" r:id="rId9"/>
    <sheet name="März" sheetId="9" state="hidden" r:id="rId10"/>
    <sheet name="Februar" sheetId="7" state="hidden" r:id="rId11"/>
    <sheet name="Januar" sheetId="6" r:id="rId12"/>
    <sheet name="Länder_Pajais_Paesi" sheetId="19" r:id="rId13"/>
    <sheet name="Uebersetzungen" sheetId="5" state="hidden" r:id="rId14"/>
  </sheets>
  <definedNames>
    <definedName name="_xlnm.Print_Area" localSheetId="8">April!$A$1:$J$101</definedName>
    <definedName name="_xlnm.Print_Area" localSheetId="4">August!$A$1:$J$101</definedName>
    <definedName name="_xlnm.Print_Area" localSheetId="0">Dezember!$A$1:$J$101</definedName>
    <definedName name="_xlnm.Print_Area" localSheetId="10">Februar!$A$1:$J$101</definedName>
    <definedName name="_xlnm.Print_Area" localSheetId="11">Januar!$A$1:$J$103</definedName>
    <definedName name="_xlnm.Print_Area" localSheetId="5">Juli!$A$1:$J$101</definedName>
    <definedName name="_xlnm.Print_Area" localSheetId="6">Juni!$A$1:$J$101</definedName>
    <definedName name="_xlnm.Print_Area" localSheetId="12">Länder_Pajais_Paesi!$A$1:$F$90</definedName>
    <definedName name="_xlnm.Print_Area" localSheetId="7">Mai!$A$1:$J$101</definedName>
    <definedName name="_xlnm.Print_Area" localSheetId="9">März!$A$1:$J$101</definedName>
    <definedName name="_xlnm.Print_Area" localSheetId="1">November!$A$1:$J$101</definedName>
    <definedName name="_xlnm.Print_Area" localSheetId="2">Oktober!$A$1:$J$101</definedName>
    <definedName name="_xlnm.Print_Area" localSheetId="3">September!$A$1:$J$101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8" l="1"/>
  <c r="I53" i="18"/>
  <c r="I54" i="18"/>
  <c r="I55" i="18"/>
  <c r="I56" i="18"/>
  <c r="I57" i="18"/>
  <c r="E52" i="18"/>
  <c r="E53" i="18"/>
  <c r="E54" i="18"/>
  <c r="E55" i="18"/>
  <c r="E56" i="18"/>
  <c r="E57" i="18"/>
  <c r="I52" i="17" l="1"/>
  <c r="I53" i="17"/>
  <c r="I54" i="17"/>
  <c r="I55" i="17"/>
  <c r="I56" i="17"/>
  <c r="I57" i="17"/>
  <c r="I58" i="17"/>
  <c r="E52" i="17"/>
  <c r="E53" i="17"/>
  <c r="E54" i="17"/>
  <c r="E55" i="17"/>
  <c r="E56" i="17"/>
  <c r="E57" i="17"/>
  <c r="E58" i="17"/>
  <c r="I49" i="16"/>
  <c r="I50" i="16"/>
  <c r="I51" i="16"/>
  <c r="I52" i="16"/>
  <c r="I53" i="16"/>
  <c r="I54" i="16"/>
  <c r="I55" i="16"/>
  <c r="E49" i="16"/>
  <c r="E50" i="16"/>
  <c r="E51" i="16"/>
  <c r="E52" i="16"/>
  <c r="E53" i="16"/>
  <c r="E54" i="16"/>
  <c r="E55" i="16"/>
  <c r="I52" i="15"/>
  <c r="I53" i="15"/>
  <c r="I54" i="15"/>
  <c r="I55" i="15"/>
  <c r="I56" i="15"/>
  <c r="I57" i="15"/>
  <c r="I58" i="15"/>
  <c r="E52" i="15"/>
  <c r="E53" i="15"/>
  <c r="E54" i="15"/>
  <c r="E55" i="15"/>
  <c r="E56" i="15"/>
  <c r="E57" i="15"/>
  <c r="E58" i="15"/>
  <c r="I53" i="14"/>
  <c r="I54" i="14"/>
  <c r="I55" i="14"/>
  <c r="I56" i="14"/>
  <c r="I57" i="14"/>
  <c r="I58" i="14"/>
  <c r="I59" i="14"/>
  <c r="E53" i="14"/>
  <c r="E54" i="14"/>
  <c r="E55" i="14"/>
  <c r="E56" i="14"/>
  <c r="E57" i="14"/>
  <c r="E58" i="14"/>
  <c r="E59" i="14"/>
  <c r="I51" i="13" l="1"/>
  <c r="I52" i="13"/>
  <c r="I53" i="13"/>
  <c r="I54" i="13"/>
  <c r="I55" i="13"/>
  <c r="I56" i="13"/>
  <c r="I57" i="13"/>
  <c r="E51" i="13"/>
  <c r="E52" i="13"/>
  <c r="E53" i="13"/>
  <c r="E54" i="13"/>
  <c r="E55" i="13"/>
  <c r="E56" i="13"/>
  <c r="E57" i="13"/>
  <c r="I53" i="12"/>
  <c r="I54" i="12"/>
  <c r="I55" i="12"/>
  <c r="I56" i="12"/>
  <c r="I57" i="12"/>
  <c r="I58" i="12"/>
  <c r="I59" i="12"/>
  <c r="E53" i="12"/>
  <c r="E54" i="12"/>
  <c r="E55" i="12"/>
  <c r="E56" i="12"/>
  <c r="E57" i="12"/>
  <c r="E58" i="12"/>
  <c r="E59" i="12"/>
  <c r="I52" i="11"/>
  <c r="I53" i="11"/>
  <c r="I54" i="11"/>
  <c r="I55" i="11"/>
  <c r="I56" i="11"/>
  <c r="I57" i="11"/>
  <c r="I58" i="11"/>
  <c r="E52" i="11"/>
  <c r="E53" i="11"/>
  <c r="E54" i="11"/>
  <c r="E55" i="11"/>
  <c r="E56" i="11"/>
  <c r="E57" i="11"/>
  <c r="E58" i="11"/>
  <c r="I48" i="10"/>
  <c r="I49" i="10"/>
  <c r="I50" i="10"/>
  <c r="I51" i="10"/>
  <c r="I52" i="10"/>
  <c r="I53" i="10"/>
  <c r="I54" i="10"/>
  <c r="E48" i="10"/>
  <c r="E49" i="10"/>
  <c r="E50" i="10"/>
  <c r="E51" i="10"/>
  <c r="E52" i="10"/>
  <c r="E53" i="10"/>
  <c r="E54" i="10"/>
  <c r="I52" i="9" l="1"/>
  <c r="I53" i="9"/>
  <c r="I54" i="9"/>
  <c r="I55" i="9"/>
  <c r="I56" i="9"/>
  <c r="I57" i="9"/>
  <c r="I58" i="9"/>
  <c r="E52" i="9"/>
  <c r="E53" i="9"/>
  <c r="E54" i="9"/>
  <c r="E55" i="9"/>
  <c r="E56" i="9"/>
  <c r="E57" i="9"/>
  <c r="E58" i="9"/>
  <c r="I71" i="7"/>
  <c r="I52" i="7"/>
  <c r="I53" i="7"/>
  <c r="I54" i="7"/>
  <c r="I55" i="7"/>
  <c r="I56" i="7"/>
  <c r="I57" i="7"/>
  <c r="I58" i="7"/>
  <c r="E52" i="7"/>
  <c r="E53" i="7"/>
  <c r="E54" i="7"/>
  <c r="E55" i="7"/>
  <c r="E56" i="7"/>
  <c r="E57" i="7"/>
  <c r="E58" i="7"/>
  <c r="E59" i="7"/>
  <c r="E71" i="7"/>
  <c r="E72" i="7"/>
  <c r="E60" i="6"/>
  <c r="E61" i="6"/>
  <c r="E62" i="6"/>
  <c r="E63" i="6"/>
  <c r="E64" i="6"/>
  <c r="E65" i="6"/>
  <c r="E68" i="6"/>
  <c r="E69" i="6"/>
  <c r="E70" i="6"/>
  <c r="E71" i="6"/>
  <c r="E72" i="6"/>
  <c r="E73" i="6"/>
  <c r="E74" i="6"/>
  <c r="C30" i="19" l="1"/>
  <c r="C74" i="19"/>
  <c r="C56" i="19"/>
  <c r="C52" i="19"/>
  <c r="C48" i="19"/>
  <c r="C44" i="19"/>
  <c r="C40" i="19"/>
  <c r="C34" i="19"/>
  <c r="C33" i="19"/>
  <c r="C26" i="19"/>
  <c r="C60" i="19"/>
  <c r="C53" i="19"/>
  <c r="C42" i="19"/>
  <c r="C39" i="19"/>
  <c r="C32" i="19"/>
  <c r="C16" i="19"/>
  <c r="C78" i="19"/>
  <c r="C76" i="19"/>
  <c r="C70" i="19"/>
  <c r="C64" i="19"/>
  <c r="C55" i="19"/>
  <c r="C50" i="19"/>
  <c r="C47" i="19"/>
  <c r="C31" i="19"/>
  <c r="C29" i="19"/>
  <c r="C81" i="19"/>
  <c r="C80" i="19"/>
  <c r="C65" i="19"/>
  <c r="C59" i="19"/>
  <c r="C58" i="19"/>
  <c r="C45" i="19"/>
  <c r="C43" i="19"/>
  <c r="C25" i="19"/>
  <c r="C20" i="19"/>
  <c r="C17" i="19"/>
  <c r="C79" i="19"/>
  <c r="C77" i="19"/>
  <c r="C49" i="19"/>
  <c r="C21" i="19"/>
  <c r="C14" i="19"/>
  <c r="C85" i="19"/>
  <c r="C72" i="19"/>
  <c r="C66" i="19"/>
  <c r="C63" i="19"/>
  <c r="C41" i="19"/>
  <c r="C28" i="19"/>
  <c r="C73" i="19"/>
  <c r="C75" i="19"/>
  <c r="C68" i="19"/>
  <c r="C13" i="19"/>
  <c r="C82" i="19"/>
  <c r="C46" i="19"/>
  <c r="C38" i="19"/>
  <c r="C67" i="19"/>
  <c r="C22" i="19"/>
  <c r="C23" i="19"/>
  <c r="C61" i="19"/>
  <c r="C37" i="19"/>
  <c r="C69" i="19"/>
  <c r="C71" i="19"/>
  <c r="C15" i="19"/>
  <c r="C19" i="19"/>
  <c r="C57" i="19"/>
  <c r="C35" i="19"/>
  <c r="C54" i="19"/>
  <c r="C27" i="19"/>
  <c r="C36" i="19"/>
  <c r="C51" i="19"/>
  <c r="C18" i="19"/>
  <c r="C84" i="19"/>
  <c r="C83" i="19"/>
  <c r="C24" i="19"/>
  <c r="C62" i="19"/>
  <c r="A96" i="18" l="1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74" i="18"/>
  <c r="A73" i="18"/>
  <c r="A72" i="18"/>
  <c r="A71" i="18"/>
  <c r="A70" i="18"/>
  <c r="A69" i="18"/>
  <c r="A68" i="18"/>
  <c r="A67" i="18"/>
  <c r="A66" i="18"/>
  <c r="A65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74" i="17"/>
  <c r="A73" i="17"/>
  <c r="A72" i="17"/>
  <c r="A71" i="17"/>
  <c r="A70" i="17"/>
  <c r="A69" i="17"/>
  <c r="A68" i="17"/>
  <c r="A67" i="17"/>
  <c r="A66" i="17"/>
  <c r="A65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74" i="16"/>
  <c r="A73" i="16"/>
  <c r="A72" i="16"/>
  <c r="A71" i="16"/>
  <c r="A70" i="16"/>
  <c r="A69" i="16"/>
  <c r="A68" i="16"/>
  <c r="A67" i="16"/>
  <c r="A66" i="16"/>
  <c r="A65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74" i="15"/>
  <c r="A73" i="15"/>
  <c r="A72" i="15"/>
  <c r="A71" i="15"/>
  <c r="A70" i="15"/>
  <c r="A69" i="15"/>
  <c r="A68" i="15"/>
  <c r="A67" i="15"/>
  <c r="A66" i="15"/>
  <c r="A65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74" i="14"/>
  <c r="A73" i="14"/>
  <c r="A72" i="14"/>
  <c r="A71" i="14"/>
  <c r="A70" i="14"/>
  <c r="A69" i="14"/>
  <c r="A68" i="14"/>
  <c r="A67" i="14"/>
  <c r="A66" i="14"/>
  <c r="A65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74" i="13"/>
  <c r="A73" i="13"/>
  <c r="A72" i="13"/>
  <c r="A71" i="13"/>
  <c r="A70" i="13"/>
  <c r="A69" i="13"/>
  <c r="A68" i="13"/>
  <c r="A67" i="13"/>
  <c r="A66" i="13"/>
  <c r="A65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74" i="12"/>
  <c r="A73" i="12"/>
  <c r="A72" i="12"/>
  <c r="A71" i="12"/>
  <c r="A70" i="12"/>
  <c r="A69" i="12"/>
  <c r="A68" i="12"/>
  <c r="A67" i="12"/>
  <c r="A66" i="12"/>
  <c r="A65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74" i="11"/>
  <c r="A73" i="11"/>
  <c r="A72" i="11"/>
  <c r="A71" i="11"/>
  <c r="A70" i="11"/>
  <c r="A69" i="11"/>
  <c r="A68" i="11"/>
  <c r="A67" i="11"/>
  <c r="A66" i="11"/>
  <c r="A65" i="11"/>
  <c r="A63" i="11"/>
  <c r="A62" i="11"/>
  <c r="A61" i="11"/>
  <c r="A60" i="11"/>
  <c r="A59" i="11"/>
  <c r="A58" i="11"/>
  <c r="A57" i="11"/>
  <c r="A56" i="11"/>
  <c r="A55" i="11"/>
  <c r="A54" i="11"/>
  <c r="A74" i="10"/>
  <c r="A73" i="10"/>
  <c r="A72" i="10"/>
  <c r="A71" i="10"/>
  <c r="A70" i="10"/>
  <c r="A69" i="10"/>
  <c r="A68" i="10"/>
  <c r="A67" i="10"/>
  <c r="A66" i="10"/>
  <c r="A65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98" i="10"/>
  <c r="A99" i="10"/>
  <c r="A100" i="10"/>
  <c r="A101" i="10"/>
  <c r="A74" i="9"/>
  <c r="A73" i="9"/>
  <c r="A72" i="9"/>
  <c r="A71" i="9"/>
  <c r="A70" i="9"/>
  <c r="A69" i="9"/>
  <c r="A68" i="9"/>
  <c r="A67" i="9"/>
  <c r="A66" i="9"/>
  <c r="A65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74" i="7"/>
  <c r="A73" i="7"/>
  <c r="A72" i="7"/>
  <c r="A71" i="7"/>
  <c r="A70" i="7"/>
  <c r="A69" i="7"/>
  <c r="A68" i="7"/>
  <c r="A67" i="7"/>
  <c r="A66" i="7"/>
  <c r="A65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75" i="6"/>
  <c r="A74" i="6"/>
  <c r="A76" i="18"/>
  <c r="A76" i="17"/>
  <c r="A76" i="16"/>
  <c r="A76" i="15"/>
  <c r="A76" i="14"/>
  <c r="A76" i="13"/>
  <c r="A76" i="12"/>
  <c r="A76" i="11"/>
  <c r="A76" i="10"/>
  <c r="A76" i="9"/>
  <c r="A76" i="7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80" i="7"/>
  <c r="C12" i="19" l="1"/>
  <c r="A12" i="19"/>
  <c r="A9" i="19"/>
  <c r="A89" i="19"/>
  <c r="A88" i="19"/>
  <c r="A7" i="19"/>
  <c r="A78" i="6"/>
  <c r="A73" i="6"/>
  <c r="A72" i="6"/>
  <c r="A71" i="6"/>
  <c r="A70" i="6"/>
  <c r="A69" i="6"/>
  <c r="A68" i="6"/>
  <c r="A67" i="6"/>
  <c r="A65" i="6"/>
  <c r="A64" i="6"/>
  <c r="A63" i="6"/>
  <c r="A62" i="6"/>
  <c r="A61" i="6"/>
  <c r="A60" i="6"/>
  <c r="A59" i="6"/>
  <c r="F74" i="18" l="1"/>
  <c r="J74" i="18"/>
  <c r="F74" i="17"/>
  <c r="J74" i="17"/>
  <c r="F74" i="16"/>
  <c r="J74" i="16"/>
  <c r="F74" i="15"/>
  <c r="J74" i="15"/>
  <c r="J74" i="14"/>
  <c r="F74" i="14"/>
  <c r="F74" i="13"/>
  <c r="J74" i="13"/>
  <c r="F74" i="12"/>
  <c r="J74" i="12"/>
  <c r="F74" i="11"/>
  <c r="J74" i="11"/>
  <c r="J74" i="10"/>
  <c r="F74" i="10"/>
  <c r="F74" i="9"/>
  <c r="J74" i="9"/>
  <c r="F74" i="7"/>
  <c r="I74" i="18"/>
  <c r="E74" i="18"/>
  <c r="I73" i="18"/>
  <c r="E73" i="18"/>
  <c r="I72" i="18"/>
  <c r="E72" i="18"/>
  <c r="I71" i="18"/>
  <c r="E71" i="18"/>
  <c r="I70" i="18"/>
  <c r="E70" i="18"/>
  <c r="I69" i="18"/>
  <c r="E69" i="18"/>
  <c r="I68" i="18"/>
  <c r="E68" i="18"/>
  <c r="I67" i="18"/>
  <c r="E67" i="18"/>
  <c r="I66" i="18"/>
  <c r="E66" i="18"/>
  <c r="I63" i="18"/>
  <c r="E63" i="18"/>
  <c r="I62" i="18"/>
  <c r="E62" i="18"/>
  <c r="I61" i="18"/>
  <c r="E61" i="18"/>
  <c r="I60" i="18"/>
  <c r="E60" i="18"/>
  <c r="I59" i="18"/>
  <c r="E59" i="18"/>
  <c r="I58" i="18"/>
  <c r="E58" i="18"/>
  <c r="I51" i="18"/>
  <c r="E51" i="18"/>
  <c r="I50" i="18"/>
  <c r="E50" i="18"/>
  <c r="I49" i="18"/>
  <c r="E49" i="18"/>
  <c r="I48" i="18"/>
  <c r="E48" i="18"/>
  <c r="I47" i="18"/>
  <c r="E47" i="18"/>
  <c r="I46" i="18"/>
  <c r="E46" i="18"/>
  <c r="I45" i="18"/>
  <c r="E45" i="18"/>
  <c r="I44" i="18"/>
  <c r="E44" i="18"/>
  <c r="I43" i="18"/>
  <c r="E43" i="18"/>
  <c r="I42" i="18"/>
  <c r="E42" i="18"/>
  <c r="I41" i="18"/>
  <c r="E41" i="18"/>
  <c r="I40" i="18"/>
  <c r="E40" i="18"/>
  <c r="I74" i="17"/>
  <c r="E74" i="17"/>
  <c r="I73" i="17"/>
  <c r="E73" i="17"/>
  <c r="I72" i="17"/>
  <c r="E72" i="17"/>
  <c r="I71" i="17"/>
  <c r="E71" i="17"/>
  <c r="I70" i="17"/>
  <c r="E70" i="17"/>
  <c r="I69" i="17"/>
  <c r="E69" i="17"/>
  <c r="I68" i="17"/>
  <c r="E68" i="17"/>
  <c r="I67" i="17"/>
  <c r="E67" i="17"/>
  <c r="I66" i="17"/>
  <c r="E66" i="17"/>
  <c r="I63" i="17"/>
  <c r="E63" i="17"/>
  <c r="I62" i="17"/>
  <c r="E62" i="17"/>
  <c r="I61" i="17"/>
  <c r="E61" i="17"/>
  <c r="I60" i="17"/>
  <c r="E60" i="17"/>
  <c r="I59" i="17"/>
  <c r="E59" i="17"/>
  <c r="I51" i="17"/>
  <c r="E51" i="17"/>
  <c r="I50" i="17"/>
  <c r="E50" i="17"/>
  <c r="I49" i="17"/>
  <c r="E49" i="17"/>
  <c r="I48" i="17"/>
  <c r="E48" i="17"/>
  <c r="I47" i="17"/>
  <c r="E47" i="17"/>
  <c r="I46" i="17"/>
  <c r="E46" i="17"/>
  <c r="I45" i="17"/>
  <c r="E45" i="17"/>
  <c r="I44" i="17"/>
  <c r="E44" i="17"/>
  <c r="I43" i="17"/>
  <c r="E43" i="17"/>
  <c r="I42" i="17"/>
  <c r="E42" i="17"/>
  <c r="I41" i="17"/>
  <c r="E41" i="17"/>
  <c r="I40" i="17"/>
  <c r="E40" i="17"/>
  <c r="I74" i="16"/>
  <c r="E74" i="16"/>
  <c r="I73" i="16"/>
  <c r="E73" i="16"/>
  <c r="I72" i="16"/>
  <c r="E72" i="16"/>
  <c r="I71" i="16"/>
  <c r="E71" i="16"/>
  <c r="I70" i="16"/>
  <c r="E70" i="16"/>
  <c r="I69" i="16"/>
  <c r="E69" i="16"/>
  <c r="I68" i="16"/>
  <c r="E68" i="16"/>
  <c r="I67" i="16"/>
  <c r="E67" i="16"/>
  <c r="I66" i="16"/>
  <c r="E66" i="16"/>
  <c r="I63" i="16"/>
  <c r="E63" i="16"/>
  <c r="I62" i="16"/>
  <c r="E62" i="16"/>
  <c r="I61" i="16"/>
  <c r="E61" i="16"/>
  <c r="I60" i="16"/>
  <c r="E60" i="16"/>
  <c r="I59" i="16"/>
  <c r="E59" i="16"/>
  <c r="I58" i="16"/>
  <c r="E58" i="16"/>
  <c r="I57" i="16"/>
  <c r="E57" i="16"/>
  <c r="I56" i="16"/>
  <c r="E56" i="16"/>
  <c r="I48" i="16"/>
  <c r="E48" i="16"/>
  <c r="I47" i="16"/>
  <c r="E47" i="16"/>
  <c r="I46" i="16"/>
  <c r="E46" i="16"/>
  <c r="I45" i="16"/>
  <c r="E45" i="16"/>
  <c r="I44" i="16"/>
  <c r="E44" i="16"/>
  <c r="I43" i="16"/>
  <c r="E43" i="16"/>
  <c r="I42" i="16"/>
  <c r="E42" i="16"/>
  <c r="I41" i="16"/>
  <c r="E41" i="16"/>
  <c r="I40" i="16"/>
  <c r="E40" i="16"/>
  <c r="I74" i="15"/>
  <c r="E74" i="15"/>
  <c r="I73" i="15"/>
  <c r="E73" i="15"/>
  <c r="I72" i="15"/>
  <c r="E72" i="15"/>
  <c r="I71" i="15"/>
  <c r="E71" i="15"/>
  <c r="I70" i="15"/>
  <c r="E70" i="15"/>
  <c r="I69" i="15"/>
  <c r="E69" i="15"/>
  <c r="I68" i="15"/>
  <c r="E68" i="15"/>
  <c r="I67" i="15"/>
  <c r="E67" i="15"/>
  <c r="I66" i="15"/>
  <c r="E66" i="15"/>
  <c r="I63" i="15"/>
  <c r="E63" i="15"/>
  <c r="I62" i="15"/>
  <c r="E62" i="15"/>
  <c r="I61" i="15"/>
  <c r="E61" i="15"/>
  <c r="I60" i="15"/>
  <c r="E60" i="15"/>
  <c r="I59" i="15"/>
  <c r="E59" i="15"/>
  <c r="I51" i="15"/>
  <c r="E51" i="15"/>
  <c r="I50" i="15"/>
  <c r="E50" i="15"/>
  <c r="I49" i="15"/>
  <c r="E49" i="15"/>
  <c r="I48" i="15"/>
  <c r="E48" i="15"/>
  <c r="I47" i="15"/>
  <c r="E47" i="15"/>
  <c r="I46" i="15"/>
  <c r="E46" i="15"/>
  <c r="I45" i="15"/>
  <c r="E45" i="15"/>
  <c r="I44" i="15"/>
  <c r="E44" i="15"/>
  <c r="I43" i="15"/>
  <c r="E43" i="15"/>
  <c r="I42" i="15"/>
  <c r="E42" i="15"/>
  <c r="I41" i="15"/>
  <c r="E41" i="15"/>
  <c r="I40" i="15"/>
  <c r="E40" i="15"/>
  <c r="I74" i="14"/>
  <c r="E74" i="14"/>
  <c r="I73" i="14"/>
  <c r="E73" i="14"/>
  <c r="I72" i="14"/>
  <c r="E72" i="14"/>
  <c r="I71" i="14"/>
  <c r="E71" i="14"/>
  <c r="I70" i="14"/>
  <c r="E70" i="14"/>
  <c r="I69" i="14"/>
  <c r="E69" i="14"/>
  <c r="I68" i="14"/>
  <c r="E68" i="14"/>
  <c r="I67" i="14"/>
  <c r="E67" i="14"/>
  <c r="I66" i="14"/>
  <c r="E66" i="14"/>
  <c r="I63" i="14"/>
  <c r="E63" i="14"/>
  <c r="I62" i="14"/>
  <c r="E62" i="14"/>
  <c r="I61" i="14"/>
  <c r="E61" i="14"/>
  <c r="I60" i="14"/>
  <c r="E60" i="14"/>
  <c r="I52" i="14"/>
  <c r="E52" i="14"/>
  <c r="I51" i="14"/>
  <c r="E51" i="14"/>
  <c r="I50" i="14"/>
  <c r="E50" i="14"/>
  <c r="I49" i="14"/>
  <c r="E49" i="14"/>
  <c r="I48" i="14"/>
  <c r="E48" i="14"/>
  <c r="I47" i="14"/>
  <c r="E47" i="14"/>
  <c r="I46" i="14"/>
  <c r="E46" i="14"/>
  <c r="I45" i="14"/>
  <c r="E45" i="14"/>
  <c r="I44" i="14"/>
  <c r="E44" i="14"/>
  <c r="I43" i="14"/>
  <c r="E43" i="14"/>
  <c r="I42" i="14"/>
  <c r="E42" i="14"/>
  <c r="I41" i="14"/>
  <c r="E41" i="14"/>
  <c r="I40" i="14"/>
  <c r="E40" i="14"/>
  <c r="I74" i="13"/>
  <c r="E74" i="13"/>
  <c r="I73" i="13"/>
  <c r="E73" i="13"/>
  <c r="I72" i="13"/>
  <c r="E72" i="13"/>
  <c r="I71" i="13"/>
  <c r="E71" i="13"/>
  <c r="I70" i="13"/>
  <c r="E70" i="13"/>
  <c r="I69" i="13"/>
  <c r="E69" i="13"/>
  <c r="I68" i="13"/>
  <c r="E68" i="13"/>
  <c r="I67" i="13"/>
  <c r="E67" i="13"/>
  <c r="I66" i="13"/>
  <c r="E66" i="13"/>
  <c r="I63" i="13"/>
  <c r="E63" i="13"/>
  <c r="I62" i="13"/>
  <c r="E62" i="13"/>
  <c r="I61" i="13"/>
  <c r="E61" i="13"/>
  <c r="I60" i="13"/>
  <c r="E60" i="13"/>
  <c r="I59" i="13"/>
  <c r="E59" i="13"/>
  <c r="I58" i="13"/>
  <c r="E58" i="13"/>
  <c r="I50" i="13"/>
  <c r="E50" i="13"/>
  <c r="I49" i="13"/>
  <c r="E49" i="13"/>
  <c r="I48" i="13"/>
  <c r="E48" i="13"/>
  <c r="I47" i="13"/>
  <c r="E47" i="13"/>
  <c r="I46" i="13"/>
  <c r="E46" i="13"/>
  <c r="I45" i="13"/>
  <c r="E45" i="13"/>
  <c r="I44" i="13"/>
  <c r="E44" i="13"/>
  <c r="I43" i="13"/>
  <c r="E43" i="13"/>
  <c r="I42" i="13"/>
  <c r="E42" i="13"/>
  <c r="I41" i="13"/>
  <c r="E41" i="13"/>
  <c r="I40" i="13"/>
  <c r="E40" i="13"/>
  <c r="I74" i="12"/>
  <c r="E74" i="12"/>
  <c r="I73" i="12"/>
  <c r="E73" i="12"/>
  <c r="I72" i="12"/>
  <c r="E72" i="12"/>
  <c r="I71" i="12"/>
  <c r="E71" i="12"/>
  <c r="I70" i="12"/>
  <c r="E70" i="12"/>
  <c r="I69" i="12"/>
  <c r="E69" i="12"/>
  <c r="I68" i="12"/>
  <c r="E68" i="12"/>
  <c r="I67" i="12"/>
  <c r="E67" i="12"/>
  <c r="I66" i="12"/>
  <c r="E66" i="12"/>
  <c r="I63" i="12"/>
  <c r="E63" i="12"/>
  <c r="I62" i="12"/>
  <c r="E62" i="12"/>
  <c r="I61" i="12"/>
  <c r="E61" i="12"/>
  <c r="I60" i="12"/>
  <c r="E60" i="12"/>
  <c r="I52" i="12"/>
  <c r="E52" i="12"/>
  <c r="I51" i="12"/>
  <c r="E51" i="12"/>
  <c r="I50" i="12"/>
  <c r="E50" i="12"/>
  <c r="I49" i="12"/>
  <c r="E49" i="12"/>
  <c r="I48" i="12"/>
  <c r="E48" i="12"/>
  <c r="I47" i="12"/>
  <c r="E47" i="12"/>
  <c r="I46" i="12"/>
  <c r="E46" i="12"/>
  <c r="I45" i="12"/>
  <c r="E45" i="12"/>
  <c r="I44" i="12"/>
  <c r="E44" i="12"/>
  <c r="I43" i="12"/>
  <c r="E43" i="12"/>
  <c r="I42" i="12"/>
  <c r="E42" i="12"/>
  <c r="I41" i="12"/>
  <c r="E41" i="12"/>
  <c r="I40" i="12"/>
  <c r="E40" i="12"/>
  <c r="I74" i="11"/>
  <c r="E74" i="11"/>
  <c r="I73" i="11"/>
  <c r="E73" i="11"/>
  <c r="I72" i="11"/>
  <c r="E72" i="11"/>
  <c r="I71" i="11"/>
  <c r="E71" i="11"/>
  <c r="I70" i="11"/>
  <c r="E70" i="11"/>
  <c r="I69" i="11"/>
  <c r="E69" i="11"/>
  <c r="I68" i="11"/>
  <c r="E68" i="11"/>
  <c r="I67" i="11"/>
  <c r="E67" i="11"/>
  <c r="I66" i="11"/>
  <c r="E66" i="11"/>
  <c r="I63" i="11"/>
  <c r="E63" i="11"/>
  <c r="I62" i="11"/>
  <c r="E62" i="11"/>
  <c r="I61" i="11"/>
  <c r="E61" i="11"/>
  <c r="I60" i="11"/>
  <c r="E60" i="11"/>
  <c r="I59" i="11"/>
  <c r="E59" i="11"/>
  <c r="I51" i="11"/>
  <c r="E51" i="11"/>
  <c r="I50" i="11"/>
  <c r="E50" i="11"/>
  <c r="I49" i="11"/>
  <c r="E49" i="11"/>
  <c r="I48" i="11"/>
  <c r="E48" i="11"/>
  <c r="I47" i="11"/>
  <c r="E47" i="11"/>
  <c r="I46" i="11"/>
  <c r="E46" i="11"/>
  <c r="I45" i="11"/>
  <c r="E45" i="11"/>
  <c r="I44" i="11"/>
  <c r="E44" i="11"/>
  <c r="I43" i="11"/>
  <c r="E43" i="11"/>
  <c r="I42" i="11"/>
  <c r="E42" i="11"/>
  <c r="I41" i="11"/>
  <c r="E41" i="11"/>
  <c r="I40" i="11"/>
  <c r="E40" i="11"/>
  <c r="I74" i="10"/>
  <c r="E74" i="10"/>
  <c r="I73" i="10"/>
  <c r="E73" i="10"/>
  <c r="I72" i="10"/>
  <c r="E72" i="10"/>
  <c r="I71" i="10"/>
  <c r="E71" i="10"/>
  <c r="I70" i="10"/>
  <c r="E70" i="10"/>
  <c r="I69" i="10"/>
  <c r="E69" i="10"/>
  <c r="I68" i="10"/>
  <c r="E68" i="10"/>
  <c r="I67" i="10"/>
  <c r="E67" i="10"/>
  <c r="I66" i="10"/>
  <c r="E66" i="10"/>
  <c r="I63" i="10"/>
  <c r="E63" i="10"/>
  <c r="I62" i="10"/>
  <c r="E62" i="10"/>
  <c r="I61" i="10"/>
  <c r="E61" i="10"/>
  <c r="I60" i="10"/>
  <c r="E60" i="10"/>
  <c r="I59" i="10"/>
  <c r="E59" i="10"/>
  <c r="I58" i="10"/>
  <c r="E58" i="10"/>
  <c r="I57" i="10"/>
  <c r="E57" i="10"/>
  <c r="I56" i="10"/>
  <c r="E56" i="10"/>
  <c r="I55" i="10"/>
  <c r="E55" i="10"/>
  <c r="I47" i="10"/>
  <c r="E47" i="10"/>
  <c r="I46" i="10"/>
  <c r="E46" i="10"/>
  <c r="I45" i="10"/>
  <c r="E45" i="10"/>
  <c r="I44" i="10"/>
  <c r="E44" i="10"/>
  <c r="I43" i="10"/>
  <c r="E43" i="10"/>
  <c r="I42" i="10"/>
  <c r="E42" i="10"/>
  <c r="I41" i="10"/>
  <c r="E41" i="10"/>
  <c r="I40" i="10"/>
  <c r="E40" i="10"/>
  <c r="I74" i="9"/>
  <c r="E74" i="9"/>
  <c r="I73" i="9"/>
  <c r="E73" i="9"/>
  <c r="I72" i="9"/>
  <c r="E72" i="9"/>
  <c r="I71" i="9"/>
  <c r="E71" i="9"/>
  <c r="I70" i="9"/>
  <c r="E70" i="9"/>
  <c r="I69" i="9"/>
  <c r="E69" i="9"/>
  <c r="I68" i="9"/>
  <c r="E68" i="9"/>
  <c r="I67" i="9"/>
  <c r="E67" i="9"/>
  <c r="I66" i="9"/>
  <c r="E66" i="9"/>
  <c r="I63" i="9"/>
  <c r="E63" i="9"/>
  <c r="I62" i="9"/>
  <c r="E62" i="9"/>
  <c r="I61" i="9"/>
  <c r="E61" i="9"/>
  <c r="I60" i="9"/>
  <c r="E60" i="9"/>
  <c r="I59" i="9"/>
  <c r="E59" i="9"/>
  <c r="I51" i="9"/>
  <c r="E51" i="9"/>
  <c r="I50" i="9"/>
  <c r="E50" i="9"/>
  <c r="I49" i="9"/>
  <c r="E49" i="9"/>
  <c r="I48" i="9"/>
  <c r="E48" i="9"/>
  <c r="I47" i="9"/>
  <c r="E47" i="9"/>
  <c r="I46" i="9"/>
  <c r="E46" i="9"/>
  <c r="I45" i="9"/>
  <c r="E45" i="9"/>
  <c r="I44" i="9"/>
  <c r="E44" i="9"/>
  <c r="I43" i="9"/>
  <c r="E43" i="9"/>
  <c r="I42" i="9"/>
  <c r="E42" i="9"/>
  <c r="I41" i="9"/>
  <c r="E41" i="9"/>
  <c r="I40" i="9"/>
  <c r="E40" i="9"/>
  <c r="I45" i="7"/>
  <c r="I46" i="7"/>
  <c r="I47" i="7"/>
  <c r="I48" i="7"/>
  <c r="I49" i="7"/>
  <c r="I50" i="7"/>
  <c r="I51" i="7"/>
  <c r="I59" i="7"/>
  <c r="I60" i="7"/>
  <c r="E45" i="7"/>
  <c r="E46" i="7"/>
  <c r="E47" i="7"/>
  <c r="E48" i="7"/>
  <c r="E49" i="7"/>
  <c r="E50" i="7"/>
  <c r="E51" i="7"/>
  <c r="E60" i="7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E26" i="10"/>
  <c r="I26" i="10"/>
  <c r="E24" i="9"/>
  <c r="I24" i="9"/>
  <c r="E25" i="9"/>
  <c r="I25" i="9"/>
  <c r="E26" i="9"/>
  <c r="I26" i="9"/>
  <c r="C238" i="5"/>
  <c r="C239" i="5"/>
  <c r="E238" i="5"/>
  <c r="D238" i="5"/>
  <c r="E58" i="6"/>
  <c r="E59" i="6"/>
  <c r="A98" i="6"/>
  <c r="A97" i="6"/>
  <c r="A96" i="6"/>
  <c r="A94" i="6"/>
  <c r="A93" i="6"/>
  <c r="A95" i="6"/>
  <c r="A92" i="6"/>
  <c r="A91" i="6"/>
  <c r="A90" i="6"/>
  <c r="A89" i="6"/>
  <c r="A88" i="6"/>
  <c r="A87" i="6"/>
  <c r="A86" i="6"/>
  <c r="A85" i="6"/>
  <c r="A76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31" i="6" l="1"/>
  <c r="A82" i="6" l="1"/>
  <c r="A39" i="6"/>
  <c r="A10" i="6"/>
  <c r="A37" i="7"/>
  <c r="A10" i="7"/>
  <c r="A80" i="9"/>
  <c r="A37" i="9"/>
  <c r="A10" i="9"/>
  <c r="A80" i="10"/>
  <c r="A37" i="10"/>
  <c r="A10" i="10"/>
  <c r="A80" i="11"/>
  <c r="A37" i="11"/>
  <c r="A10" i="11"/>
  <c r="A80" i="12"/>
  <c r="A37" i="12"/>
  <c r="A10" i="12"/>
  <c r="A80" i="13"/>
  <c r="A37" i="13"/>
  <c r="A10" i="13"/>
  <c r="A80" i="14"/>
  <c r="A37" i="14"/>
  <c r="A10" i="14"/>
  <c r="A80" i="15"/>
  <c r="A37" i="15"/>
  <c r="A10" i="15"/>
  <c r="A80" i="16"/>
  <c r="A37" i="16"/>
  <c r="A10" i="16"/>
  <c r="A80" i="17"/>
  <c r="A37" i="17"/>
  <c r="A10" i="17"/>
  <c r="A80" i="18"/>
  <c r="A37" i="18"/>
  <c r="A10" i="18"/>
  <c r="E243" i="5" l="1"/>
  <c r="E242" i="5"/>
  <c r="E240" i="5"/>
  <c r="E239" i="5"/>
  <c r="D243" i="5"/>
  <c r="D242" i="5"/>
  <c r="D240" i="5"/>
  <c r="D239" i="5"/>
  <c r="C243" i="5"/>
  <c r="D82" i="18" s="1"/>
  <c r="C242" i="5"/>
  <c r="C12" i="18" s="1"/>
  <c r="C240" i="5"/>
  <c r="A79" i="18" s="1"/>
  <c r="A36" i="18"/>
  <c r="A9" i="18"/>
  <c r="E229" i="5"/>
  <c r="E228" i="5"/>
  <c r="E226" i="5"/>
  <c r="E224" i="5"/>
  <c r="E225" i="5"/>
  <c r="D229" i="5"/>
  <c r="D228" i="5"/>
  <c r="D226" i="5"/>
  <c r="D224" i="5"/>
  <c r="D225" i="5"/>
  <c r="C229" i="5"/>
  <c r="D12" i="17" s="1"/>
  <c r="C228" i="5"/>
  <c r="C39" i="17" s="1"/>
  <c r="C226" i="5"/>
  <c r="C224" i="5"/>
  <c r="C225" i="5"/>
  <c r="A9" i="17" s="1"/>
  <c r="E215" i="5"/>
  <c r="E214" i="5"/>
  <c r="E212" i="5"/>
  <c r="E210" i="5"/>
  <c r="E211" i="5"/>
  <c r="D215" i="5"/>
  <c r="D214" i="5"/>
  <c r="D212" i="5"/>
  <c r="D210" i="5"/>
  <c r="D211" i="5"/>
  <c r="C215" i="5"/>
  <c r="C214" i="5"/>
  <c r="C212" i="5"/>
  <c r="C210" i="5"/>
  <c r="A9" i="16" s="1"/>
  <c r="C211" i="5"/>
  <c r="E201" i="5"/>
  <c r="E200" i="5"/>
  <c r="E198" i="5"/>
  <c r="E196" i="5"/>
  <c r="E197" i="5"/>
  <c r="D201" i="5"/>
  <c r="D200" i="5"/>
  <c r="D198" i="5"/>
  <c r="D196" i="5"/>
  <c r="D197" i="5"/>
  <c r="C201" i="5"/>
  <c r="D82" i="15" s="1"/>
  <c r="C200" i="5"/>
  <c r="C39" i="15" s="1"/>
  <c r="C198" i="5"/>
  <c r="A79" i="15" s="1"/>
  <c r="C196" i="5"/>
  <c r="A9" i="15" s="1"/>
  <c r="C197" i="5"/>
  <c r="A36" i="15" s="1"/>
  <c r="E187" i="5"/>
  <c r="E186" i="5"/>
  <c r="E184" i="5"/>
  <c r="E182" i="5"/>
  <c r="E183" i="5"/>
  <c r="D187" i="5"/>
  <c r="D186" i="5"/>
  <c r="D184" i="5"/>
  <c r="D182" i="5"/>
  <c r="D183" i="5"/>
  <c r="C187" i="5"/>
  <c r="D39" i="14" s="1"/>
  <c r="C186" i="5"/>
  <c r="C82" i="14" s="1"/>
  <c r="C184" i="5"/>
  <c r="A79" i="14" s="1"/>
  <c r="C182" i="5"/>
  <c r="A9" i="14" s="1"/>
  <c r="C183" i="5"/>
  <c r="E173" i="5"/>
  <c r="E172" i="5"/>
  <c r="E170" i="5"/>
  <c r="E168" i="5"/>
  <c r="E169" i="5"/>
  <c r="D173" i="5"/>
  <c r="D172" i="5"/>
  <c r="D170" i="5"/>
  <c r="D168" i="5"/>
  <c r="D169" i="5"/>
  <c r="C173" i="5"/>
  <c r="D82" i="13" s="1"/>
  <c r="C172" i="5"/>
  <c r="C39" i="13" s="1"/>
  <c r="C170" i="5"/>
  <c r="A79" i="13" s="1"/>
  <c r="C168" i="5"/>
  <c r="C169" i="5"/>
  <c r="E159" i="5"/>
  <c r="E158" i="5"/>
  <c r="E156" i="5"/>
  <c r="E154" i="5"/>
  <c r="E155" i="5"/>
  <c r="D159" i="5"/>
  <c r="D158" i="5"/>
  <c r="D156" i="5"/>
  <c r="D154" i="5"/>
  <c r="D155" i="5"/>
  <c r="D144" i="5"/>
  <c r="C159" i="5"/>
  <c r="D82" i="12" s="1"/>
  <c r="C158" i="5"/>
  <c r="C82" i="12" s="1"/>
  <c r="C156" i="5"/>
  <c r="A79" i="12" s="1"/>
  <c r="C154" i="5"/>
  <c r="C155" i="5"/>
  <c r="A9" i="12" s="1"/>
  <c r="E145" i="5"/>
  <c r="E144" i="5"/>
  <c r="E142" i="5"/>
  <c r="E140" i="5"/>
  <c r="E141" i="5"/>
  <c r="D145" i="5"/>
  <c r="D142" i="5"/>
  <c r="D140" i="5"/>
  <c r="D141" i="5"/>
  <c r="E131" i="5"/>
  <c r="E130" i="5"/>
  <c r="E128" i="5"/>
  <c r="E126" i="5"/>
  <c r="E127" i="5"/>
  <c r="D131" i="5"/>
  <c r="D130" i="5"/>
  <c r="D128" i="5"/>
  <c r="D126" i="5"/>
  <c r="D127" i="5"/>
  <c r="C145" i="5"/>
  <c r="D82" i="11" s="1"/>
  <c r="C144" i="5"/>
  <c r="C12" i="11" s="1"/>
  <c r="C126" i="5"/>
  <c r="A36" i="10" s="1"/>
  <c r="C128" i="5"/>
  <c r="A79" i="10" s="1"/>
  <c r="C142" i="5"/>
  <c r="A79" i="11" s="1"/>
  <c r="C140" i="5"/>
  <c r="C141" i="5"/>
  <c r="C131" i="5"/>
  <c r="D39" i="10" s="1"/>
  <c r="C130" i="5"/>
  <c r="C39" i="10" s="1"/>
  <c r="C127" i="5"/>
  <c r="E117" i="5"/>
  <c r="E116" i="5"/>
  <c r="E114" i="5"/>
  <c r="E112" i="5"/>
  <c r="E113" i="5"/>
  <c r="D114" i="5"/>
  <c r="D112" i="5"/>
  <c r="D113" i="5"/>
  <c r="D117" i="5"/>
  <c r="D116" i="5"/>
  <c r="C117" i="5"/>
  <c r="D39" i="9" s="1"/>
  <c r="C116" i="5"/>
  <c r="C39" i="9" s="1"/>
  <c r="C114" i="5"/>
  <c r="A79" i="9" s="1"/>
  <c r="C112" i="5"/>
  <c r="C113" i="5"/>
  <c r="A9" i="9" s="1"/>
  <c r="E103" i="5"/>
  <c r="E102" i="5"/>
  <c r="E100" i="5"/>
  <c r="E98" i="5"/>
  <c r="E99" i="5"/>
  <c r="D103" i="5"/>
  <c r="D102" i="5"/>
  <c r="D100" i="5"/>
  <c r="D98" i="5"/>
  <c r="D99" i="5"/>
  <c r="C100" i="5"/>
  <c r="A79" i="7" s="1"/>
  <c r="C98" i="5"/>
  <c r="C99" i="5"/>
  <c r="C103" i="5"/>
  <c r="D82" i="7" s="1"/>
  <c r="C102" i="5"/>
  <c r="C39" i="7" s="1"/>
  <c r="E12" i="5"/>
  <c r="E11" i="5"/>
  <c r="E9" i="5"/>
  <c r="E7" i="5"/>
  <c r="E8" i="5"/>
  <c r="D12" i="5"/>
  <c r="D11" i="5"/>
  <c r="D9" i="5"/>
  <c r="D7" i="5"/>
  <c r="D8" i="5"/>
  <c r="C12" i="5"/>
  <c r="C11" i="5"/>
  <c r="C9" i="5"/>
  <c r="C7" i="5"/>
  <c r="C8" i="5"/>
  <c r="D3" i="5"/>
  <c r="C13" i="5" s="1"/>
  <c r="A101" i="18"/>
  <c r="A99" i="18"/>
  <c r="J82" i="18"/>
  <c r="F82" i="18"/>
  <c r="J39" i="18"/>
  <c r="F39" i="18"/>
  <c r="D12" i="18"/>
  <c r="A100" i="18"/>
  <c r="A98" i="18"/>
  <c r="I96" i="18"/>
  <c r="E96" i="18"/>
  <c r="I95" i="18"/>
  <c r="E95" i="18"/>
  <c r="I94" i="18"/>
  <c r="E94" i="18"/>
  <c r="I93" i="18"/>
  <c r="E93" i="18"/>
  <c r="I92" i="18"/>
  <c r="E92" i="18"/>
  <c r="I91" i="18"/>
  <c r="E91" i="18"/>
  <c r="I90" i="18"/>
  <c r="E90" i="18"/>
  <c r="I89" i="18"/>
  <c r="E89" i="18"/>
  <c r="I88" i="18"/>
  <c r="E88" i="18"/>
  <c r="I87" i="18"/>
  <c r="E87" i="18"/>
  <c r="I86" i="18"/>
  <c r="E86" i="18"/>
  <c r="I85" i="18"/>
  <c r="E85" i="18"/>
  <c r="I84" i="18"/>
  <c r="E84" i="18"/>
  <c r="I83" i="18"/>
  <c r="E83" i="18"/>
  <c r="A33" i="18"/>
  <c r="H31" i="18"/>
  <c r="H30" i="18" s="1"/>
  <c r="G31" i="18"/>
  <c r="I31" i="18" s="1"/>
  <c r="D31" i="18"/>
  <c r="D30" i="18" s="1"/>
  <c r="C31" i="18"/>
  <c r="C30" i="18" s="1"/>
  <c r="I29" i="18"/>
  <c r="E29" i="18"/>
  <c r="I28" i="18"/>
  <c r="E28" i="18"/>
  <c r="I27" i="18"/>
  <c r="E27" i="18"/>
  <c r="I26" i="18"/>
  <c r="E26" i="18"/>
  <c r="I25" i="18"/>
  <c r="E25" i="18"/>
  <c r="I24" i="18"/>
  <c r="E24" i="18"/>
  <c r="I23" i="18"/>
  <c r="E23" i="18"/>
  <c r="I22" i="18"/>
  <c r="E22" i="18"/>
  <c r="I21" i="18"/>
  <c r="E21" i="18"/>
  <c r="I20" i="18"/>
  <c r="E20" i="18"/>
  <c r="I19" i="18"/>
  <c r="E19" i="18"/>
  <c r="I18" i="18"/>
  <c r="E18" i="18"/>
  <c r="I17" i="18"/>
  <c r="E17" i="18"/>
  <c r="I16" i="18"/>
  <c r="E16" i="18"/>
  <c r="I15" i="18"/>
  <c r="E15" i="18"/>
  <c r="I14" i="18"/>
  <c r="E14" i="18"/>
  <c r="I13" i="18"/>
  <c r="E13" i="18"/>
  <c r="J12" i="18"/>
  <c r="F12" i="18"/>
  <c r="A7" i="18"/>
  <c r="A101" i="17"/>
  <c r="A99" i="17"/>
  <c r="A79" i="17"/>
  <c r="J82" i="17"/>
  <c r="F82" i="17"/>
  <c r="J39" i="17"/>
  <c r="F39" i="17"/>
  <c r="A100" i="17"/>
  <c r="A98" i="17"/>
  <c r="I96" i="17"/>
  <c r="E96" i="17"/>
  <c r="I95" i="17"/>
  <c r="E95" i="17"/>
  <c r="I94" i="17"/>
  <c r="E94" i="17"/>
  <c r="I93" i="17"/>
  <c r="E93" i="17"/>
  <c r="I92" i="17"/>
  <c r="E92" i="17"/>
  <c r="I91" i="17"/>
  <c r="E91" i="17"/>
  <c r="I90" i="17"/>
  <c r="E90" i="17"/>
  <c r="I89" i="17"/>
  <c r="E89" i="17"/>
  <c r="I88" i="17"/>
  <c r="E88" i="17"/>
  <c r="I87" i="17"/>
  <c r="E87" i="17"/>
  <c r="I86" i="17"/>
  <c r="E86" i="17"/>
  <c r="I85" i="17"/>
  <c r="E85" i="17"/>
  <c r="I84" i="17"/>
  <c r="E84" i="17"/>
  <c r="I83" i="17"/>
  <c r="E83" i="17"/>
  <c r="A33" i="17"/>
  <c r="I31" i="17"/>
  <c r="I29" i="17"/>
  <c r="E29" i="17"/>
  <c r="I28" i="17"/>
  <c r="E28" i="17"/>
  <c r="I27" i="17"/>
  <c r="E27" i="17"/>
  <c r="I26" i="17"/>
  <c r="E26" i="17"/>
  <c r="I25" i="17"/>
  <c r="E25" i="17"/>
  <c r="I24" i="17"/>
  <c r="E24" i="17"/>
  <c r="I23" i="17"/>
  <c r="E23" i="17"/>
  <c r="I22" i="17"/>
  <c r="E22" i="17"/>
  <c r="I21" i="17"/>
  <c r="E21" i="17"/>
  <c r="I20" i="17"/>
  <c r="E20" i="17"/>
  <c r="I19" i="17"/>
  <c r="E19" i="17"/>
  <c r="I18" i="17"/>
  <c r="E18" i="17"/>
  <c r="I17" i="17"/>
  <c r="E17" i="17"/>
  <c r="I16" i="17"/>
  <c r="E16" i="17"/>
  <c r="I15" i="17"/>
  <c r="E15" i="17"/>
  <c r="I14" i="17"/>
  <c r="E14" i="17"/>
  <c r="I13" i="17"/>
  <c r="E13" i="17"/>
  <c r="J12" i="17"/>
  <c r="F12" i="17"/>
  <c r="A7" i="17"/>
  <c r="A101" i="16"/>
  <c r="A99" i="16"/>
  <c r="A79" i="16"/>
  <c r="J82" i="16"/>
  <c r="F82" i="16"/>
  <c r="D82" i="16"/>
  <c r="C82" i="16"/>
  <c r="J39" i="16"/>
  <c r="F39" i="16"/>
  <c r="D39" i="16"/>
  <c r="C39" i="16"/>
  <c r="D12" i="16"/>
  <c r="C12" i="16"/>
  <c r="A100" i="16"/>
  <c r="A98" i="16"/>
  <c r="I96" i="16"/>
  <c r="E96" i="16"/>
  <c r="I95" i="16"/>
  <c r="E95" i="16"/>
  <c r="I94" i="16"/>
  <c r="E94" i="16"/>
  <c r="I93" i="16"/>
  <c r="E93" i="16"/>
  <c r="I92" i="16"/>
  <c r="E92" i="16"/>
  <c r="I91" i="16"/>
  <c r="E91" i="16"/>
  <c r="I90" i="16"/>
  <c r="E90" i="16"/>
  <c r="I89" i="16"/>
  <c r="E89" i="16"/>
  <c r="I88" i="16"/>
  <c r="E88" i="16"/>
  <c r="I87" i="16"/>
  <c r="E87" i="16"/>
  <c r="I86" i="16"/>
  <c r="E86" i="16"/>
  <c r="I85" i="16"/>
  <c r="E85" i="16"/>
  <c r="I84" i="16"/>
  <c r="E84" i="16"/>
  <c r="I83" i="16"/>
  <c r="E83" i="16"/>
  <c r="A33" i="16"/>
  <c r="I29" i="16"/>
  <c r="E29" i="16"/>
  <c r="I28" i="16"/>
  <c r="E28" i="16"/>
  <c r="I27" i="16"/>
  <c r="E27" i="16"/>
  <c r="I26" i="16"/>
  <c r="E26" i="16"/>
  <c r="I25" i="16"/>
  <c r="E25" i="16"/>
  <c r="I24" i="16"/>
  <c r="E24" i="16"/>
  <c r="I23" i="16"/>
  <c r="E23" i="16"/>
  <c r="I22" i="16"/>
  <c r="E22" i="16"/>
  <c r="I21" i="16"/>
  <c r="E21" i="16"/>
  <c r="I20" i="16"/>
  <c r="E20" i="16"/>
  <c r="I19" i="16"/>
  <c r="E19" i="16"/>
  <c r="I18" i="16"/>
  <c r="E18" i="16"/>
  <c r="I17" i="16"/>
  <c r="E17" i="16"/>
  <c r="I16" i="16"/>
  <c r="E16" i="16"/>
  <c r="I15" i="16"/>
  <c r="E15" i="16"/>
  <c r="I14" i="16"/>
  <c r="E14" i="16"/>
  <c r="I13" i="16"/>
  <c r="E13" i="16"/>
  <c r="J12" i="16"/>
  <c r="F12" i="16"/>
  <c r="A7" i="16"/>
  <c r="A101" i="15"/>
  <c r="A99" i="15"/>
  <c r="J82" i="15"/>
  <c r="F82" i="15"/>
  <c r="J39" i="15"/>
  <c r="F39" i="15"/>
  <c r="A100" i="15"/>
  <c r="A98" i="15"/>
  <c r="I96" i="15"/>
  <c r="E96" i="15"/>
  <c r="I95" i="15"/>
  <c r="E95" i="15"/>
  <c r="I94" i="15"/>
  <c r="E94" i="15"/>
  <c r="I93" i="15"/>
  <c r="E93" i="15"/>
  <c r="I92" i="15"/>
  <c r="E92" i="15"/>
  <c r="I91" i="15"/>
  <c r="E91" i="15"/>
  <c r="I90" i="15"/>
  <c r="E90" i="15"/>
  <c r="I89" i="15"/>
  <c r="E89" i="15"/>
  <c r="I88" i="15"/>
  <c r="E88" i="15"/>
  <c r="I87" i="15"/>
  <c r="E87" i="15"/>
  <c r="I86" i="15"/>
  <c r="E86" i="15"/>
  <c r="I85" i="15"/>
  <c r="E85" i="15"/>
  <c r="I84" i="15"/>
  <c r="E84" i="15"/>
  <c r="I83" i="15"/>
  <c r="E83" i="15"/>
  <c r="A33" i="15"/>
  <c r="I29" i="15"/>
  <c r="E29" i="15"/>
  <c r="I28" i="15"/>
  <c r="E28" i="15"/>
  <c r="I27" i="15"/>
  <c r="E27" i="15"/>
  <c r="I26" i="15"/>
  <c r="E26" i="15"/>
  <c r="I25" i="15"/>
  <c r="E25" i="15"/>
  <c r="I24" i="15"/>
  <c r="E24" i="15"/>
  <c r="I23" i="15"/>
  <c r="E23" i="15"/>
  <c r="I22" i="15"/>
  <c r="E22" i="15"/>
  <c r="I21" i="15"/>
  <c r="E21" i="15"/>
  <c r="I20" i="15"/>
  <c r="E20" i="15"/>
  <c r="I19" i="15"/>
  <c r="E19" i="15"/>
  <c r="I18" i="15"/>
  <c r="E18" i="15"/>
  <c r="I17" i="15"/>
  <c r="E17" i="15"/>
  <c r="I16" i="15"/>
  <c r="E16" i="15"/>
  <c r="I15" i="15"/>
  <c r="E15" i="15"/>
  <c r="I14" i="15"/>
  <c r="E14" i="15"/>
  <c r="I13" i="15"/>
  <c r="E13" i="15"/>
  <c r="J12" i="15"/>
  <c r="F12" i="15"/>
  <c r="A7" i="15"/>
  <c r="A101" i="14"/>
  <c r="A99" i="14"/>
  <c r="A36" i="14"/>
  <c r="J82" i="14"/>
  <c r="F82" i="14"/>
  <c r="J39" i="14"/>
  <c r="F39" i="14"/>
  <c r="A100" i="14"/>
  <c r="A98" i="14"/>
  <c r="I96" i="14"/>
  <c r="E96" i="14"/>
  <c r="I95" i="14"/>
  <c r="E95" i="14"/>
  <c r="I94" i="14"/>
  <c r="E94" i="14"/>
  <c r="I93" i="14"/>
  <c r="E93" i="14"/>
  <c r="I92" i="14"/>
  <c r="E92" i="14"/>
  <c r="I91" i="14"/>
  <c r="E91" i="14"/>
  <c r="I90" i="14"/>
  <c r="E90" i="14"/>
  <c r="I89" i="14"/>
  <c r="E89" i="14"/>
  <c r="I88" i="14"/>
  <c r="E88" i="14"/>
  <c r="I87" i="14"/>
  <c r="E87" i="14"/>
  <c r="I86" i="14"/>
  <c r="E86" i="14"/>
  <c r="I85" i="14"/>
  <c r="E85" i="14"/>
  <c r="I84" i="14"/>
  <c r="E84" i="14"/>
  <c r="I83" i="14"/>
  <c r="E83" i="14"/>
  <c r="A33" i="14"/>
  <c r="I29" i="14"/>
  <c r="E29" i="14"/>
  <c r="I28" i="14"/>
  <c r="E28" i="14"/>
  <c r="I27" i="14"/>
  <c r="E27" i="14"/>
  <c r="I26" i="14"/>
  <c r="E26" i="14"/>
  <c r="I25" i="14"/>
  <c r="E25" i="14"/>
  <c r="I24" i="14"/>
  <c r="E24" i="14"/>
  <c r="I23" i="14"/>
  <c r="E23" i="14"/>
  <c r="I22" i="14"/>
  <c r="E22" i="14"/>
  <c r="I21" i="14"/>
  <c r="E21" i="14"/>
  <c r="I20" i="14"/>
  <c r="E20" i="14"/>
  <c r="I19" i="14"/>
  <c r="E19" i="14"/>
  <c r="I18" i="14"/>
  <c r="E18" i="14"/>
  <c r="I17" i="14"/>
  <c r="E17" i="14"/>
  <c r="I16" i="14"/>
  <c r="E16" i="14"/>
  <c r="I15" i="14"/>
  <c r="E15" i="14"/>
  <c r="I14" i="14"/>
  <c r="E14" i="14"/>
  <c r="I13" i="14"/>
  <c r="E13" i="14"/>
  <c r="J12" i="14"/>
  <c r="F12" i="14"/>
  <c r="A7" i="14"/>
  <c r="A101" i="13"/>
  <c r="A99" i="13"/>
  <c r="A36" i="13"/>
  <c r="J82" i="13"/>
  <c r="F82" i="13"/>
  <c r="J39" i="13"/>
  <c r="F39" i="13"/>
  <c r="A9" i="13"/>
  <c r="A100" i="13"/>
  <c r="A98" i="13"/>
  <c r="I96" i="13"/>
  <c r="E96" i="13"/>
  <c r="I95" i="13"/>
  <c r="E95" i="13"/>
  <c r="I94" i="13"/>
  <c r="E94" i="13"/>
  <c r="I93" i="13"/>
  <c r="E93" i="13"/>
  <c r="I92" i="13"/>
  <c r="E92" i="13"/>
  <c r="I91" i="13"/>
  <c r="E91" i="13"/>
  <c r="I90" i="13"/>
  <c r="E90" i="13"/>
  <c r="I89" i="13"/>
  <c r="E89" i="13"/>
  <c r="I88" i="13"/>
  <c r="E88" i="13"/>
  <c r="I87" i="13"/>
  <c r="E87" i="13"/>
  <c r="I86" i="13"/>
  <c r="E86" i="13"/>
  <c r="I85" i="13"/>
  <c r="E85" i="13"/>
  <c r="I84" i="13"/>
  <c r="E84" i="13"/>
  <c r="I83" i="13"/>
  <c r="E83" i="13"/>
  <c r="A33" i="13"/>
  <c r="I29" i="13"/>
  <c r="E29" i="13"/>
  <c r="I28" i="13"/>
  <c r="E28" i="13"/>
  <c r="I27" i="13"/>
  <c r="E27" i="13"/>
  <c r="I26" i="13"/>
  <c r="E26" i="13"/>
  <c r="I25" i="13"/>
  <c r="E25" i="13"/>
  <c r="I24" i="13"/>
  <c r="E24" i="13"/>
  <c r="I23" i="13"/>
  <c r="E23" i="13"/>
  <c r="I22" i="13"/>
  <c r="E22" i="13"/>
  <c r="I21" i="13"/>
  <c r="E21" i="13"/>
  <c r="I20" i="13"/>
  <c r="E20" i="13"/>
  <c r="I19" i="13"/>
  <c r="E19" i="13"/>
  <c r="I18" i="13"/>
  <c r="E18" i="13"/>
  <c r="I17" i="13"/>
  <c r="E17" i="13"/>
  <c r="I16" i="13"/>
  <c r="E16" i="13"/>
  <c r="I15" i="13"/>
  <c r="E15" i="13"/>
  <c r="I14" i="13"/>
  <c r="E14" i="13"/>
  <c r="I13" i="13"/>
  <c r="E13" i="13"/>
  <c r="J12" i="13"/>
  <c r="F12" i="13"/>
  <c r="A7" i="13"/>
  <c r="A101" i="12"/>
  <c r="A100" i="12"/>
  <c r="A99" i="12"/>
  <c r="J82" i="12"/>
  <c r="F82" i="12"/>
  <c r="J39" i="12"/>
  <c r="F39" i="12"/>
  <c r="A98" i="12"/>
  <c r="I96" i="12"/>
  <c r="E96" i="12"/>
  <c r="I95" i="12"/>
  <c r="E95" i="12"/>
  <c r="I94" i="12"/>
  <c r="E94" i="12"/>
  <c r="I93" i="12"/>
  <c r="E93" i="12"/>
  <c r="I92" i="12"/>
  <c r="E92" i="12"/>
  <c r="I91" i="12"/>
  <c r="E91" i="12"/>
  <c r="I90" i="12"/>
  <c r="E90" i="12"/>
  <c r="I89" i="12"/>
  <c r="E89" i="12"/>
  <c r="I88" i="12"/>
  <c r="E88" i="12"/>
  <c r="I87" i="12"/>
  <c r="E87" i="12"/>
  <c r="I86" i="12"/>
  <c r="E86" i="12"/>
  <c r="I85" i="12"/>
  <c r="E85" i="12"/>
  <c r="I84" i="12"/>
  <c r="E84" i="12"/>
  <c r="I83" i="12"/>
  <c r="E83" i="12"/>
  <c r="A33" i="12"/>
  <c r="I29" i="12"/>
  <c r="E29" i="12"/>
  <c r="I28" i="12"/>
  <c r="E28" i="12"/>
  <c r="I27" i="12"/>
  <c r="E27" i="12"/>
  <c r="I26" i="12"/>
  <c r="E26" i="12"/>
  <c r="I25" i="12"/>
  <c r="E25" i="12"/>
  <c r="I24" i="12"/>
  <c r="E24" i="12"/>
  <c r="I23" i="12"/>
  <c r="E23" i="12"/>
  <c r="I22" i="12"/>
  <c r="E22" i="12"/>
  <c r="I21" i="12"/>
  <c r="E21" i="12"/>
  <c r="I20" i="12"/>
  <c r="E20" i="12"/>
  <c r="I19" i="12"/>
  <c r="E19" i="12"/>
  <c r="I18" i="12"/>
  <c r="E18" i="12"/>
  <c r="I17" i="12"/>
  <c r="E17" i="12"/>
  <c r="I16" i="12"/>
  <c r="E16" i="12"/>
  <c r="I15" i="12"/>
  <c r="E15" i="12"/>
  <c r="I14" i="12"/>
  <c r="E14" i="12"/>
  <c r="I13" i="12"/>
  <c r="E13" i="12"/>
  <c r="J12" i="12"/>
  <c r="F12" i="12"/>
  <c r="A7" i="12"/>
  <c r="A101" i="11"/>
  <c r="A99" i="11"/>
  <c r="J82" i="11"/>
  <c r="F82" i="11"/>
  <c r="J39" i="11"/>
  <c r="F39" i="11"/>
  <c r="A9" i="11"/>
  <c r="A100" i="11"/>
  <c r="A98" i="11"/>
  <c r="I96" i="11"/>
  <c r="E96" i="11"/>
  <c r="I95" i="11"/>
  <c r="E95" i="11"/>
  <c r="I94" i="11"/>
  <c r="E94" i="11"/>
  <c r="I93" i="11"/>
  <c r="E93" i="11"/>
  <c r="I92" i="11"/>
  <c r="E92" i="11"/>
  <c r="I91" i="11"/>
  <c r="E91" i="11"/>
  <c r="I90" i="11"/>
  <c r="E90" i="11"/>
  <c r="I89" i="11"/>
  <c r="E89" i="11"/>
  <c r="I88" i="11"/>
  <c r="E88" i="11"/>
  <c r="I87" i="11"/>
  <c r="E87" i="11"/>
  <c r="I86" i="11"/>
  <c r="E86" i="11"/>
  <c r="I85" i="11"/>
  <c r="E85" i="11"/>
  <c r="I84" i="11"/>
  <c r="E84" i="11"/>
  <c r="I83" i="11"/>
  <c r="E83" i="11"/>
  <c r="A33" i="11"/>
  <c r="I31" i="11"/>
  <c r="I29" i="11"/>
  <c r="E29" i="11"/>
  <c r="I28" i="11"/>
  <c r="E28" i="11"/>
  <c r="I27" i="11"/>
  <c r="E27" i="11"/>
  <c r="I26" i="11"/>
  <c r="E26" i="11"/>
  <c r="I25" i="11"/>
  <c r="E25" i="11"/>
  <c r="I24" i="11"/>
  <c r="E24" i="11"/>
  <c r="I23" i="11"/>
  <c r="E23" i="11"/>
  <c r="I22" i="11"/>
  <c r="E22" i="11"/>
  <c r="I21" i="11"/>
  <c r="E21" i="11"/>
  <c r="I20" i="11"/>
  <c r="E20" i="11"/>
  <c r="I19" i="11"/>
  <c r="E19" i="11"/>
  <c r="I18" i="11"/>
  <c r="E18" i="11"/>
  <c r="I17" i="11"/>
  <c r="E17" i="11"/>
  <c r="I16" i="11"/>
  <c r="E16" i="11"/>
  <c r="I15" i="11"/>
  <c r="E15" i="11"/>
  <c r="I14" i="11"/>
  <c r="E14" i="11"/>
  <c r="I13" i="11"/>
  <c r="E13" i="11"/>
  <c r="J12" i="11"/>
  <c r="F12" i="11"/>
  <c r="A7" i="11"/>
  <c r="J82" i="10"/>
  <c r="F82" i="10"/>
  <c r="J39" i="10"/>
  <c r="F39" i="10"/>
  <c r="I96" i="10"/>
  <c r="E96" i="10"/>
  <c r="I95" i="10"/>
  <c r="E95" i="10"/>
  <c r="I94" i="10"/>
  <c r="E94" i="10"/>
  <c r="I93" i="10"/>
  <c r="E93" i="10"/>
  <c r="I92" i="10"/>
  <c r="E92" i="10"/>
  <c r="I91" i="10"/>
  <c r="E91" i="10"/>
  <c r="I90" i="10"/>
  <c r="E90" i="10"/>
  <c r="I89" i="10"/>
  <c r="E89" i="10"/>
  <c r="I88" i="10"/>
  <c r="E88" i="10"/>
  <c r="I87" i="10"/>
  <c r="E87" i="10"/>
  <c r="I86" i="10"/>
  <c r="E86" i="10"/>
  <c r="I85" i="10"/>
  <c r="E85" i="10"/>
  <c r="I84" i="10"/>
  <c r="E84" i="10"/>
  <c r="I83" i="10"/>
  <c r="E83" i="10"/>
  <c r="A33" i="10"/>
  <c r="I29" i="10"/>
  <c r="E29" i="10"/>
  <c r="I28" i="10"/>
  <c r="E28" i="10"/>
  <c r="I27" i="10"/>
  <c r="E27" i="10"/>
  <c r="I25" i="10"/>
  <c r="E25" i="10"/>
  <c r="I24" i="10"/>
  <c r="E24" i="10"/>
  <c r="I23" i="10"/>
  <c r="E23" i="10"/>
  <c r="I22" i="10"/>
  <c r="E22" i="10"/>
  <c r="I21" i="10"/>
  <c r="E21" i="10"/>
  <c r="I20" i="10"/>
  <c r="E20" i="10"/>
  <c r="I19" i="10"/>
  <c r="E19" i="10"/>
  <c r="I18" i="10"/>
  <c r="E18" i="10"/>
  <c r="I17" i="10"/>
  <c r="E17" i="10"/>
  <c r="I16" i="10"/>
  <c r="E16" i="10"/>
  <c r="I15" i="10"/>
  <c r="E15" i="10"/>
  <c r="I14" i="10"/>
  <c r="E14" i="10"/>
  <c r="I13" i="10"/>
  <c r="E13" i="10"/>
  <c r="J12" i="10"/>
  <c r="F12" i="10"/>
  <c r="A7" i="10"/>
  <c r="A101" i="9"/>
  <c r="A99" i="9"/>
  <c r="J82" i="9"/>
  <c r="F82" i="9"/>
  <c r="J39" i="9"/>
  <c r="F39" i="9"/>
  <c r="A100" i="9"/>
  <c r="A98" i="9"/>
  <c r="I96" i="9"/>
  <c r="E96" i="9"/>
  <c r="I95" i="9"/>
  <c r="E95" i="9"/>
  <c r="I94" i="9"/>
  <c r="E94" i="9"/>
  <c r="I93" i="9"/>
  <c r="E93" i="9"/>
  <c r="I92" i="9"/>
  <c r="E92" i="9"/>
  <c r="I91" i="9"/>
  <c r="E91" i="9"/>
  <c r="I90" i="9"/>
  <c r="E90" i="9"/>
  <c r="I89" i="9"/>
  <c r="E89" i="9"/>
  <c r="I88" i="9"/>
  <c r="E88" i="9"/>
  <c r="I87" i="9"/>
  <c r="E87" i="9"/>
  <c r="I86" i="9"/>
  <c r="E86" i="9"/>
  <c r="I85" i="9"/>
  <c r="E85" i="9"/>
  <c r="I84" i="9"/>
  <c r="E84" i="9"/>
  <c r="I83" i="9"/>
  <c r="E83" i="9"/>
  <c r="A33" i="9"/>
  <c r="I29" i="9"/>
  <c r="E29" i="9"/>
  <c r="I28" i="9"/>
  <c r="E28" i="9"/>
  <c r="I27" i="9"/>
  <c r="E27" i="9"/>
  <c r="I23" i="9"/>
  <c r="E23" i="9"/>
  <c r="I22" i="9"/>
  <c r="E22" i="9"/>
  <c r="I21" i="9"/>
  <c r="E21" i="9"/>
  <c r="I20" i="9"/>
  <c r="E20" i="9"/>
  <c r="I19" i="9"/>
  <c r="E19" i="9"/>
  <c r="I18" i="9"/>
  <c r="E18" i="9"/>
  <c r="I17" i="9"/>
  <c r="E17" i="9"/>
  <c r="I16" i="9"/>
  <c r="E16" i="9"/>
  <c r="I15" i="9"/>
  <c r="E15" i="9"/>
  <c r="I14" i="9"/>
  <c r="E14" i="9"/>
  <c r="I13" i="9"/>
  <c r="E13" i="9"/>
  <c r="J12" i="9"/>
  <c r="F12" i="9"/>
  <c r="A7" i="9"/>
  <c r="A101" i="7"/>
  <c r="A99" i="7"/>
  <c r="A36" i="7"/>
  <c r="J82" i="7"/>
  <c r="F82" i="7"/>
  <c r="J39" i="7"/>
  <c r="F39" i="7"/>
  <c r="J12" i="7"/>
  <c r="F12" i="7"/>
  <c r="D12" i="7"/>
  <c r="C12" i="7"/>
  <c r="A7" i="7"/>
  <c r="A9" i="7"/>
  <c r="A100" i="7"/>
  <c r="A98" i="7"/>
  <c r="I96" i="7"/>
  <c r="E96" i="7"/>
  <c r="I95" i="7"/>
  <c r="E95" i="7"/>
  <c r="I94" i="7"/>
  <c r="E94" i="7"/>
  <c r="I93" i="7"/>
  <c r="E93" i="7"/>
  <c r="I92" i="7"/>
  <c r="E92" i="7"/>
  <c r="I91" i="7"/>
  <c r="E91" i="7"/>
  <c r="I90" i="7"/>
  <c r="E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A33" i="7"/>
  <c r="I74" i="7"/>
  <c r="E74" i="7"/>
  <c r="I73" i="7"/>
  <c r="E73" i="7"/>
  <c r="I72" i="7"/>
  <c r="I70" i="7"/>
  <c r="E70" i="7"/>
  <c r="I69" i="7"/>
  <c r="E69" i="7"/>
  <c r="I68" i="7"/>
  <c r="E68" i="7"/>
  <c r="I67" i="7"/>
  <c r="E67" i="7"/>
  <c r="I66" i="7"/>
  <c r="E66" i="7"/>
  <c r="I63" i="7"/>
  <c r="E63" i="7"/>
  <c r="I62" i="7"/>
  <c r="E62" i="7"/>
  <c r="I61" i="7"/>
  <c r="E61" i="7"/>
  <c r="I44" i="7"/>
  <c r="E44" i="7"/>
  <c r="I43" i="7"/>
  <c r="E43" i="7"/>
  <c r="I42" i="7"/>
  <c r="E42" i="7"/>
  <c r="I41" i="7"/>
  <c r="E41" i="7"/>
  <c r="I40" i="7"/>
  <c r="E40" i="7"/>
  <c r="I29" i="7"/>
  <c r="E29" i="7"/>
  <c r="I28" i="7"/>
  <c r="E28" i="7"/>
  <c r="I27" i="7"/>
  <c r="E27" i="7"/>
  <c r="I26" i="7"/>
  <c r="E26" i="7"/>
  <c r="I25" i="7"/>
  <c r="E25" i="7"/>
  <c r="I24" i="7"/>
  <c r="E24" i="7"/>
  <c r="I23" i="7"/>
  <c r="E23" i="7"/>
  <c r="I22" i="7"/>
  <c r="E22" i="7"/>
  <c r="I21" i="7"/>
  <c r="E21" i="7"/>
  <c r="I20" i="7"/>
  <c r="E20" i="7"/>
  <c r="I19" i="7"/>
  <c r="E19" i="7"/>
  <c r="I18" i="7"/>
  <c r="E18" i="7"/>
  <c r="I17" i="7"/>
  <c r="E17" i="7"/>
  <c r="I16" i="7"/>
  <c r="E16" i="7"/>
  <c r="I15" i="7"/>
  <c r="E15" i="7"/>
  <c r="I14" i="7"/>
  <c r="E14" i="7"/>
  <c r="I13" i="7"/>
  <c r="E13" i="7"/>
  <c r="C82" i="18" l="1"/>
  <c r="D39" i="18"/>
  <c r="A36" i="12"/>
  <c r="D39" i="13"/>
  <c r="A36" i="11"/>
  <c r="D12" i="13"/>
  <c r="D39" i="17"/>
  <c r="D39" i="7"/>
  <c r="A36" i="16"/>
  <c r="D82" i="17"/>
  <c r="A36" i="9"/>
  <c r="C82" i="7"/>
  <c r="A36" i="17"/>
  <c r="A9" i="10"/>
  <c r="I31" i="7"/>
  <c r="I31" i="10"/>
  <c r="I31" i="16"/>
  <c r="G30" i="18"/>
  <c r="I30" i="16"/>
  <c r="I31" i="15"/>
  <c r="I31" i="14"/>
  <c r="I30" i="14"/>
  <c r="I31" i="13"/>
  <c r="I30" i="13"/>
  <c r="I31" i="12"/>
  <c r="I30" i="10"/>
  <c r="I31" i="9"/>
  <c r="I30" i="9"/>
  <c r="I30" i="7"/>
  <c r="C12" i="12"/>
  <c r="C39" i="12"/>
  <c r="C12" i="14"/>
  <c r="C39" i="14"/>
  <c r="D39" i="15"/>
  <c r="D12" i="11"/>
  <c r="D147" i="5"/>
  <c r="C82" i="13"/>
  <c r="E146" i="5"/>
  <c r="C12" i="13"/>
  <c r="C146" i="5"/>
  <c r="E105" i="5"/>
  <c r="D118" i="5"/>
  <c r="E161" i="5"/>
  <c r="C39" i="11"/>
  <c r="D104" i="5"/>
  <c r="D119" i="5"/>
  <c r="D105" i="5"/>
  <c r="D160" i="5"/>
  <c r="C160" i="5"/>
  <c r="G82" i="12" s="1"/>
  <c r="C82" i="9"/>
  <c r="C82" i="10"/>
  <c r="C119" i="5"/>
  <c r="H12" i="9" s="1"/>
  <c r="D146" i="5"/>
  <c r="E147" i="5"/>
  <c r="C161" i="5"/>
  <c r="D161" i="5"/>
  <c r="C12" i="9"/>
  <c r="C82" i="11"/>
  <c r="D203" i="5"/>
  <c r="D217" i="5"/>
  <c r="D82" i="9"/>
  <c r="D39" i="12"/>
  <c r="D12" i="9"/>
  <c r="C12" i="10"/>
  <c r="C202" i="5"/>
  <c r="D12" i="12"/>
  <c r="C175" i="5"/>
  <c r="H39" i="13" s="1"/>
  <c r="D39" i="11"/>
  <c r="H12" i="12"/>
  <c r="D82" i="10"/>
  <c r="D12" i="10"/>
  <c r="C12" i="15"/>
  <c r="C82" i="15"/>
  <c r="E132" i="5"/>
  <c r="E189" i="5"/>
  <c r="C216" i="5"/>
  <c r="D12" i="15"/>
  <c r="C245" i="5"/>
  <c r="H39" i="18" s="1"/>
  <c r="D175" i="5"/>
  <c r="D188" i="5"/>
  <c r="E202" i="5"/>
  <c r="C105" i="5"/>
  <c r="E104" i="5"/>
  <c r="C118" i="5"/>
  <c r="E160" i="5"/>
  <c r="C174" i="5"/>
  <c r="C12" i="17"/>
  <c r="E188" i="5"/>
  <c r="C203" i="5"/>
  <c r="E231" i="5"/>
  <c r="C244" i="5"/>
  <c r="D245" i="5"/>
  <c r="C82" i="17"/>
  <c r="H12" i="18"/>
  <c r="C147" i="5"/>
  <c r="D132" i="5"/>
  <c r="E133" i="5"/>
  <c r="C188" i="5"/>
  <c r="D189" i="5"/>
  <c r="D230" i="5"/>
  <c r="D12" i="14"/>
  <c r="E118" i="5"/>
  <c r="C132" i="5"/>
  <c r="D133" i="5"/>
  <c r="E174" i="5"/>
  <c r="C189" i="5"/>
  <c r="E216" i="5"/>
  <c r="C230" i="5"/>
  <c r="D231" i="5"/>
  <c r="G82" i="11"/>
  <c r="C104" i="5"/>
  <c r="E119" i="5"/>
  <c r="C133" i="5"/>
  <c r="D174" i="5"/>
  <c r="E175" i="5"/>
  <c r="D216" i="5"/>
  <c r="E217" i="5"/>
  <c r="C231" i="5"/>
  <c r="D82" i="14"/>
  <c r="D202" i="5"/>
  <c r="E203" i="5"/>
  <c r="C217" i="5"/>
  <c r="E245" i="5"/>
  <c r="E230" i="5"/>
  <c r="D244" i="5"/>
  <c r="E244" i="5"/>
  <c r="C39" i="18"/>
  <c r="D17" i="5"/>
  <c r="E13" i="5"/>
  <c r="D13" i="5"/>
  <c r="E17" i="5"/>
  <c r="E82" i="17"/>
  <c r="E39" i="17"/>
  <c r="E82" i="18"/>
  <c r="E39" i="18"/>
  <c r="E82" i="16"/>
  <c r="E39" i="16"/>
  <c r="E82" i="15"/>
  <c r="E39" i="15"/>
  <c r="E82" i="14"/>
  <c r="E39" i="14"/>
  <c r="E82" i="13"/>
  <c r="E39" i="13"/>
  <c r="E82" i="11"/>
  <c r="E39" i="11"/>
  <c r="E82" i="10"/>
  <c r="E39" i="10"/>
  <c r="E82" i="9"/>
  <c r="E39" i="9"/>
  <c r="E82" i="7"/>
  <c r="E39" i="7"/>
  <c r="E12" i="7"/>
  <c r="E12" i="17"/>
  <c r="E12" i="14"/>
  <c r="E12" i="11"/>
  <c r="E82" i="12"/>
  <c r="E39" i="12"/>
  <c r="E12" i="16"/>
  <c r="E12" i="13"/>
  <c r="E12" i="10"/>
  <c r="E12" i="18"/>
  <c r="E12" i="9"/>
  <c r="E12" i="15"/>
  <c r="E12" i="12"/>
  <c r="C17" i="5"/>
  <c r="I30" i="11"/>
  <c r="I30" i="12"/>
  <c r="I30" i="17"/>
  <c r="E30" i="10"/>
  <c r="E30" i="7"/>
  <c r="E30" i="11"/>
  <c r="E31" i="16"/>
  <c r="E30" i="18"/>
  <c r="E31" i="11"/>
  <c r="E30" i="12"/>
  <c r="I30" i="15"/>
  <c r="E31" i="12"/>
  <c r="E31" i="13"/>
  <c r="E30" i="9"/>
  <c r="E31" i="14"/>
  <c r="E30" i="16"/>
  <c r="I30" i="18"/>
  <c r="E31" i="18"/>
  <c r="E30" i="17"/>
  <c r="E31" i="17"/>
  <c r="E30" i="15"/>
  <c r="E31" i="15"/>
  <c r="E30" i="14"/>
  <c r="E30" i="13"/>
  <c r="E31" i="10"/>
  <c r="E31" i="9"/>
  <c r="E31" i="7"/>
  <c r="G39" i="12" l="1"/>
  <c r="H82" i="9"/>
  <c r="G12" i="12"/>
  <c r="H39" i="9"/>
  <c r="G39" i="11"/>
  <c r="G12" i="11"/>
  <c r="H82" i="12"/>
  <c r="H39" i="12"/>
  <c r="H12" i="13"/>
  <c r="H82" i="13"/>
  <c r="G82" i="15"/>
  <c r="G39" i="15"/>
  <c r="G12" i="15"/>
  <c r="H82" i="18"/>
  <c r="G12" i="9"/>
  <c r="G39" i="9"/>
  <c r="G82" i="9"/>
  <c r="G82" i="16"/>
  <c r="G12" i="16"/>
  <c r="G39" i="16"/>
  <c r="H12" i="7"/>
  <c r="H39" i="7"/>
  <c r="H82" i="7"/>
  <c r="G12" i="13"/>
  <c r="G82" i="13"/>
  <c r="G39" i="13"/>
  <c r="G39" i="17"/>
  <c r="G82" i="17"/>
  <c r="G12" i="17"/>
  <c r="H39" i="16"/>
  <c r="H12" i="16"/>
  <c r="H82" i="16"/>
  <c r="G39" i="18"/>
  <c r="G82" i="18"/>
  <c r="G12" i="18"/>
  <c r="H39" i="10"/>
  <c r="H82" i="10"/>
  <c r="H12" i="10"/>
  <c r="H12" i="14"/>
  <c r="H39" i="14"/>
  <c r="H82" i="14"/>
  <c r="G82" i="14"/>
  <c r="G12" i="14"/>
  <c r="G39" i="14"/>
  <c r="H12" i="15"/>
  <c r="H39" i="15"/>
  <c r="H82" i="15"/>
  <c r="G12" i="7"/>
  <c r="G39" i="7"/>
  <c r="G82" i="7"/>
  <c r="H82" i="17"/>
  <c r="H12" i="17"/>
  <c r="H39" i="17"/>
  <c r="G39" i="10"/>
  <c r="G82" i="10"/>
  <c r="G12" i="10"/>
  <c r="H39" i="11"/>
  <c r="H82" i="11"/>
  <c r="H12" i="11"/>
  <c r="I12" i="18"/>
  <c r="I82" i="17"/>
  <c r="I39" i="17"/>
  <c r="I12" i="17"/>
  <c r="I12" i="16"/>
  <c r="I12" i="15"/>
  <c r="I12" i="14"/>
  <c r="I12" i="13"/>
  <c r="I12" i="12"/>
  <c r="I12" i="11"/>
  <c r="I12" i="10"/>
  <c r="I12" i="9"/>
  <c r="I12" i="7"/>
  <c r="I82" i="7"/>
  <c r="I82" i="18"/>
  <c r="I39" i="18"/>
  <c r="I82" i="16"/>
  <c r="I39" i="16"/>
  <c r="I82" i="15"/>
  <c r="I39" i="15"/>
  <c r="I82" i="14"/>
  <c r="I39" i="14"/>
  <c r="I82" i="13"/>
  <c r="I39" i="13"/>
  <c r="I82" i="11"/>
  <c r="I39" i="11"/>
  <c r="I82" i="10"/>
  <c r="I39" i="10"/>
  <c r="I82" i="9"/>
  <c r="I39" i="9"/>
  <c r="I39" i="7"/>
  <c r="I82" i="12"/>
  <c r="I39" i="12"/>
  <c r="A103" i="6"/>
  <c r="A102" i="6"/>
  <c r="A101" i="6"/>
  <c r="A100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F84" i="6"/>
  <c r="E84" i="6"/>
  <c r="D84" i="6"/>
  <c r="C84" i="6"/>
  <c r="A81" i="6"/>
  <c r="A35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F41" i="6"/>
  <c r="E41" i="6"/>
  <c r="D41" i="6"/>
  <c r="C41" i="6"/>
  <c r="A38" i="6"/>
  <c r="E30" i="6"/>
  <c r="A30" i="6"/>
  <c r="E29" i="6"/>
  <c r="A29" i="6"/>
  <c r="A28" i="6"/>
  <c r="E27" i="6"/>
  <c r="A27" i="6"/>
  <c r="E26" i="6"/>
  <c r="A26" i="6"/>
  <c r="E25" i="6"/>
  <c r="A25" i="6"/>
  <c r="E24" i="6"/>
  <c r="A24" i="6"/>
  <c r="E23" i="6"/>
  <c r="A23" i="6"/>
  <c r="E22" i="6"/>
  <c r="A22" i="6"/>
  <c r="E21" i="6"/>
  <c r="A21" i="6"/>
  <c r="E20" i="6"/>
  <c r="A20" i="6"/>
  <c r="E19" i="6"/>
  <c r="A19" i="6"/>
  <c r="E18" i="6"/>
  <c r="A18" i="6"/>
  <c r="E17" i="6"/>
  <c r="A17" i="6"/>
  <c r="E16" i="6"/>
  <c r="A16" i="6"/>
  <c r="E15" i="6"/>
  <c r="A15" i="6"/>
  <c r="E14" i="6"/>
  <c r="A14" i="6"/>
  <c r="E13" i="6"/>
  <c r="A13" i="6"/>
  <c r="F12" i="6"/>
  <c r="E12" i="6"/>
  <c r="D12" i="6"/>
  <c r="C12" i="6"/>
  <c r="A9" i="6"/>
  <c r="A7" i="6"/>
  <c r="J74" i="7" l="1"/>
  <c r="E31" i="6"/>
  <c r="E76" i="6"/>
</calcChain>
</file>

<file path=xl/sharedStrings.xml><?xml version="1.0" encoding="utf-8"?>
<sst xmlns="http://schemas.openxmlformats.org/spreadsheetml/2006/main" count="873" uniqueCount="636">
  <si>
    <t>Davos Klosters</t>
  </si>
  <si>
    <t>Flims Laax</t>
  </si>
  <si>
    <t>Chur</t>
  </si>
  <si>
    <t>Lenzerheide</t>
  </si>
  <si>
    <t>Prättigau</t>
  </si>
  <si>
    <t>Valposchiavo</t>
  </si>
  <si>
    <t>Viamala</t>
  </si>
  <si>
    <t>Bergün Filisur</t>
  </si>
  <si>
    <t>Disentis Sedrun</t>
  </si>
  <si>
    <t>Vals</t>
  </si>
  <si>
    <t>Graubünden</t>
  </si>
  <si>
    <t>San Bernardino, Mesolcina/Calanca</t>
  </si>
  <si>
    <t>Bündner Herrschaft</t>
  </si>
  <si>
    <t>Schweiz</t>
  </si>
  <si>
    <t>Deutschland</t>
  </si>
  <si>
    <t>Niederlande</t>
  </si>
  <si>
    <t>Italien</t>
  </si>
  <si>
    <t>Belgien</t>
  </si>
  <si>
    <t>Frankreich</t>
  </si>
  <si>
    <t>Österreich</t>
  </si>
  <si>
    <t>Japan</t>
  </si>
  <si>
    <t>Polen</t>
  </si>
  <si>
    <t>Brasilien</t>
  </si>
  <si>
    <t>Vereinigtes Königreich</t>
  </si>
  <si>
    <t>Arosa</t>
  </si>
  <si>
    <t>Surselva</t>
  </si>
  <si>
    <t>Bregaglia Engadin</t>
  </si>
  <si>
    <t>Engadin St. Moritz</t>
  </si>
  <si>
    <t>Scuol Samnaun Val Müstair</t>
  </si>
  <si>
    <t>Ostschweiz</t>
  </si>
  <si>
    <t>Genf</t>
  </si>
  <si>
    <t>Wallis</t>
  </si>
  <si>
    <t>Tessin</t>
  </si>
  <si>
    <t>Zürich Region</t>
  </si>
  <si>
    <t>Luzern / Vierwaldstättersee</t>
  </si>
  <si>
    <t>Basel Region</t>
  </si>
  <si>
    <t>Bern Region</t>
  </si>
  <si>
    <t>Jura &amp; Drei-Seen-Land</t>
  </si>
  <si>
    <t>Fribourg Region</t>
  </si>
  <si>
    <t>Aktuelle Zuordnung der politischen Gemeinden zu Destinationen:</t>
  </si>
  <si>
    <t>Vereinigte Staaten</t>
  </si>
  <si>
    <t>Waadt</t>
  </si>
  <si>
    <t>-</t>
  </si>
  <si>
    <t>Kontakt: Luzius Stricker, 081 257 23 74, luzius.stricker@awt.gr.ch</t>
  </si>
  <si>
    <t>Veränderung zum
5-Jahresmittel 
in %</t>
  </si>
  <si>
    <t>Val Surses</t>
  </si>
  <si>
    <t>Aargau und Solothurn Region</t>
  </si>
  <si>
    <t xml:space="preserve"> 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</si>
  <si>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</si>
  <si>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</si>
  <si>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</si>
  <si>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</si>
  <si>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</si>
  <si>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</si>
  <si>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</si>
  <si>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</si>
  <si>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</si>
  <si>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</si>
  <si>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</si>
  <si>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T1-2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</si>
  <si>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</si>
  <si>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</si>
  <si>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</si>
  <si>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</si>
  <si>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</si>
  <si>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</si>
  <si>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</si>
  <si>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</si>
  <si>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</si>
  <si>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</si>
  <si>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</si>
  <si>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</si>
  <si>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</si>
  <si>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</si>
  <si>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</si>
  <si>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</si>
  <si>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</si>
  <si>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</si>
  <si>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</si>
  <si>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</si>
  <si>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</si>
  <si>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</si>
  <si>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</si>
  <si>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</si>
  <si>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</si>
  <si>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</si>
  <si>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</si>
  <si>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</si>
  <si>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&lt;Zeilentitel_26&gt;</t>
  </si>
  <si>
    <t>&lt;Zeilentitel_27&gt;</t>
  </si>
  <si>
    <t>&lt;Legende_1&gt;</t>
  </si>
  <si>
    <t>&lt;Legende_2&gt;</t>
  </si>
  <si>
    <t>&lt;Legende_3&gt;</t>
  </si>
  <si>
    <t>&lt;Quelle_1&gt;</t>
  </si>
  <si>
    <t>&lt;Aktualisierung&gt;</t>
  </si>
  <si>
    <t>Quelle: BFS (HESTA)</t>
  </si>
  <si>
    <t>&lt;Titel1&gt;</t>
  </si>
  <si>
    <t>&lt;Titel2&gt;</t>
  </si>
  <si>
    <t>&lt;Titel3&gt;</t>
  </si>
  <si>
    <t>&lt;Zeilentitel_28&gt;</t>
  </si>
  <si>
    <t>&lt;Zeilentitel_29&gt;</t>
  </si>
  <si>
    <t>&lt;Zeilentitel_30&gt;</t>
  </si>
  <si>
    <t>&lt;Zeilentitel_31&gt;</t>
  </si>
  <si>
    <t>&lt;Zeilentitel_32&gt;</t>
  </si>
  <si>
    <t>&lt;Zeilentitel_33&gt;</t>
  </si>
  <si>
    <t>&lt;Zeilentitel_34&gt;</t>
  </si>
  <si>
    <t>&lt;Zeilentitel_35&gt;</t>
  </si>
  <si>
    <t>&lt;Zeilentitel_36&gt;</t>
  </si>
  <si>
    <t>&lt;Zeilentitel_37&gt;</t>
  </si>
  <si>
    <t>&lt;Zeilentitel_38&gt;</t>
  </si>
  <si>
    <t>&lt;Zeilentitel_39&gt;</t>
  </si>
  <si>
    <t>&lt;Zeilentitel_40&gt;</t>
  </si>
  <si>
    <t>&lt;Zeilentitel_41&gt;</t>
  </si>
  <si>
    <t>&lt;Zeilentitel_42&gt;</t>
  </si>
  <si>
    <t>&lt;Zeilentitel_43&gt;</t>
  </si>
  <si>
    <t>&lt;Zeilentitel_44&gt;</t>
  </si>
  <si>
    <t>&lt;Zeilentitel_48&gt;</t>
  </si>
  <si>
    <t>&lt;Zeilentitel_49&gt;</t>
  </si>
  <si>
    <t>&lt;Zeilentitel_50&gt;</t>
  </si>
  <si>
    <t>&lt;Zeilentitel_51&gt;</t>
  </si>
  <si>
    <t>&lt;Zeilentitel_52&gt;</t>
  </si>
  <si>
    <t>&lt;Zeilentitel_53&gt;</t>
  </si>
  <si>
    <t>&lt;Zeilentitel_54&gt;</t>
  </si>
  <si>
    <t>&lt;Zeilentitel_55&gt;</t>
  </si>
  <si>
    <t>&lt;Zeilentitel_56&gt;</t>
  </si>
  <si>
    <t>&lt;Zeilentitel_57&gt;</t>
  </si>
  <si>
    <t>&lt;SpaltenTitel_4&gt;</t>
  </si>
  <si>
    <t>&lt;SpaltenTitel_5&gt;</t>
  </si>
  <si>
    <t>&lt;SpaltenTitel_6&gt;</t>
  </si>
  <si>
    <t>&lt;SpaltenTitel_7&gt;</t>
  </si>
  <si>
    <t>&lt;SpaltenTitel_8&gt;</t>
  </si>
  <si>
    <t>Midada a la
media da 5 onns 
en %</t>
  </si>
  <si>
    <t>Variazione alla media quinquennale in %</t>
  </si>
  <si>
    <t>Attribuziun actuala da las vischnancas politicas a destinaziuns:</t>
  </si>
  <si>
    <t>Contact: Luzius Stricker, 081 257 23 74, luzius.stricker@awt.gr.ch</t>
  </si>
  <si>
    <t>Contatto: Luzius Stricker, 081 257 23 74, luzius.stricker@awt.gr.ch</t>
  </si>
  <si>
    <t>Attuale assegnazione dei comuni politici alle destinazioni:</t>
  </si>
  <si>
    <t>Svizra</t>
  </si>
  <si>
    <t>Germania</t>
  </si>
  <si>
    <t>Italia</t>
  </si>
  <si>
    <t>Frantscha</t>
  </si>
  <si>
    <t>Austria</t>
  </si>
  <si>
    <t>Pajais Bass</t>
  </si>
  <si>
    <t>Belgia</t>
  </si>
  <si>
    <t>Reginavel Unì</t>
  </si>
  <si>
    <t>Stadis Unids</t>
  </si>
  <si>
    <t>Pologna</t>
  </si>
  <si>
    <t>Giapun</t>
  </si>
  <si>
    <t xml:space="preserve">India </t>
  </si>
  <si>
    <t>Brasilia</t>
  </si>
  <si>
    <t>Grischun</t>
  </si>
  <si>
    <t>Svizzera</t>
  </si>
  <si>
    <t>Francia</t>
  </si>
  <si>
    <t>Paesi Bassi</t>
  </si>
  <si>
    <t>Belgio</t>
  </si>
  <si>
    <t>Regno Unito</t>
  </si>
  <si>
    <t>Stati Uniti</t>
  </si>
  <si>
    <t>Polonia</t>
  </si>
  <si>
    <t>Giappone</t>
  </si>
  <si>
    <t>Brasile</t>
  </si>
  <si>
    <t>Grigioni</t>
  </si>
  <si>
    <t xml:space="preserve">Arosa </t>
  </si>
  <si>
    <t>Bündner Herschaft</t>
  </si>
  <si>
    <t>Regiun Argovia e Solturn</t>
  </si>
  <si>
    <t>Regione Argovia e Soletta</t>
  </si>
  <si>
    <t>Regiun Basilea</t>
  </si>
  <si>
    <t>Regione Basilea</t>
  </si>
  <si>
    <t>Regiun Berna</t>
  </si>
  <si>
    <t>Regione Berna</t>
  </si>
  <si>
    <t>Regiun da Friburg</t>
  </si>
  <si>
    <t>Regione Friburgo</t>
  </si>
  <si>
    <t>Genevra</t>
  </si>
  <si>
    <t>Ginevra</t>
  </si>
  <si>
    <t>Giura &amp; Trais lais</t>
  </si>
  <si>
    <t>Giura &amp; Tre Laghi</t>
  </si>
  <si>
    <t>Lucerna / Lai dals Quatter Chantuns</t>
  </si>
  <si>
    <t>Lucerna / Lago dei Quattro Cantoni</t>
  </si>
  <si>
    <t>Svizra Orientala</t>
  </si>
  <si>
    <t>Svizzera orientale</t>
  </si>
  <si>
    <t>Ticino</t>
  </si>
  <si>
    <t>Vallais</t>
  </si>
  <si>
    <t>Vallese</t>
  </si>
  <si>
    <t>Vad</t>
  </si>
  <si>
    <t>Vaud</t>
  </si>
  <si>
    <t>Regiun da Turitg</t>
  </si>
  <si>
    <t>Regione Zurigo</t>
  </si>
  <si>
    <t>Destinationen/destinaziuns/destinazioni</t>
  </si>
  <si>
    <t>Funtauna: UST (HESTA)</t>
  </si>
  <si>
    <t>Fonte: UST (HESTA)</t>
  </si>
  <si>
    <t>T2</t>
  </si>
  <si>
    <t>&lt;T2Titel1&gt;</t>
  </si>
  <si>
    <t>&lt;T3Titel2&gt;</t>
  </si>
  <si>
    <t>&lt;T3Titel3&gt;</t>
  </si>
  <si>
    <t>&lt;T3SpaltenTitel_1&gt;</t>
  </si>
  <si>
    <t>&lt;T3SpaltenTitel_2&gt;</t>
  </si>
  <si>
    <t>&lt;T3SpaltenTitel_5&gt;</t>
  </si>
  <si>
    <t>&lt;T3SpaltenTitel_6&gt;</t>
  </si>
  <si>
    <t>&lt;T3Legende_3&gt;</t>
  </si>
  <si>
    <t>&lt;T3Aktualisierung&gt;</t>
  </si>
  <si>
    <t>&lt;T2Titel2&gt;</t>
  </si>
  <si>
    <t>&lt;T2Titel3&gt;</t>
  </si>
  <si>
    <t>&lt;T2SpaltenTitel_1&gt;</t>
  </si>
  <si>
    <t>&lt;T2SpaltenTitel_2&gt;</t>
  </si>
  <si>
    <t>&lt;T2SpaltenTitel_5&gt;</t>
  </si>
  <si>
    <t>&lt;T2SpaltenTitel_6&gt;</t>
  </si>
  <si>
    <t>&lt;T2Legende_3&gt;</t>
  </si>
  <si>
    <t>&lt;T2Aktualisierung&gt;</t>
  </si>
  <si>
    <t>&lt;T3Titel1&gt;</t>
  </si>
  <si>
    <t>T3</t>
  </si>
  <si>
    <t>T4</t>
  </si>
  <si>
    <t>&lt;T4Titel1&gt;</t>
  </si>
  <si>
    <t>&lt;T4Titel2&gt;</t>
  </si>
  <si>
    <t>&lt;T4Titel3&gt;</t>
  </si>
  <si>
    <t>&lt;T4SpaltenTitel_1&gt;</t>
  </si>
  <si>
    <t>&lt;T4SpaltenTitel_2&gt;</t>
  </si>
  <si>
    <t>&lt;T5SpaltenTitel_5&gt;</t>
  </si>
  <si>
    <t>&lt;T4SpaltenTitel_6&gt;</t>
  </si>
  <si>
    <t>&lt;T4SpaltenTitel_5&gt;</t>
  </si>
  <si>
    <t>&lt;T4Legende_3&gt;</t>
  </si>
  <si>
    <t>&lt;T4Aktualisierung&gt;</t>
  </si>
  <si>
    <t>T5</t>
  </si>
  <si>
    <t>&lt;T5Titel1&gt;</t>
  </si>
  <si>
    <t>&lt;T5Titel2&gt;</t>
  </si>
  <si>
    <t>&lt;T5Titel3&gt;</t>
  </si>
  <si>
    <t>&lt;T5SpaltenTitel_1&gt;</t>
  </si>
  <si>
    <t>&lt;T5SpaltenTitel_2&gt;</t>
  </si>
  <si>
    <t>&lt;T5SpaltenTitel_6&gt;</t>
  </si>
  <si>
    <t>&lt;T5Legende_3&gt;</t>
  </si>
  <si>
    <t>&lt;T5Aktualisierung&gt;</t>
  </si>
  <si>
    <t>T6</t>
  </si>
  <si>
    <t>&lt;T6Titel1&gt;</t>
  </si>
  <si>
    <t>&lt;T6Titel2&gt;</t>
  </si>
  <si>
    <t>&lt;T6Titel3&gt;</t>
  </si>
  <si>
    <t>&lt;T6SpaltenTitel_1&gt;</t>
  </si>
  <si>
    <t>&lt;T6SpaltenTitel_2&gt;</t>
  </si>
  <si>
    <t>&lt;T6SpaltenTitel_5&gt;</t>
  </si>
  <si>
    <t>&lt;T6SpaltenTitel_6&gt;</t>
  </si>
  <si>
    <t>&lt;T6Legende_3&gt;</t>
  </si>
  <si>
    <t>&lt;T6Aktualisierung&gt;</t>
  </si>
  <si>
    <t>T7</t>
  </si>
  <si>
    <t>&lt;T7Titel1&gt;</t>
  </si>
  <si>
    <t>&lt;T7Titel2&gt;</t>
  </si>
  <si>
    <t>&lt;T7Titel3&gt;</t>
  </si>
  <si>
    <t>&lt;T7SpaltenTitel_1&gt;</t>
  </si>
  <si>
    <t>&lt;T7SpaltenTitel_2&gt;</t>
  </si>
  <si>
    <t>&lt;T7SpaltenTitel_5&gt;</t>
  </si>
  <si>
    <t>&lt;T7SpaltenTitel_6&gt;</t>
  </si>
  <si>
    <t>&lt;T8Legende_3&gt;</t>
  </si>
  <si>
    <t>&lt;T7Aktualisierung&gt;</t>
  </si>
  <si>
    <t>&lt;T7Legende_3&gt;</t>
  </si>
  <si>
    <t>T8</t>
  </si>
  <si>
    <t>&lt;T8Titel1&gt;</t>
  </si>
  <si>
    <t>&lt;T8Titel2&gt;</t>
  </si>
  <si>
    <t>&lt;T8Titel3&gt;</t>
  </si>
  <si>
    <t>&lt;T8SpaltenTitel_1&gt;</t>
  </si>
  <si>
    <t>&lt;T8SpaltenTitel_2&gt;</t>
  </si>
  <si>
    <t>&lt;T8SpaltenTitel_5&gt;</t>
  </si>
  <si>
    <t>&lt;T8SpaltenTitel_6&gt;</t>
  </si>
  <si>
    <t>&lt;T8Aktualisierung&gt;</t>
  </si>
  <si>
    <t>T9</t>
  </si>
  <si>
    <t>&lt;T9Titel1&gt;</t>
  </si>
  <si>
    <t>&lt;T9Titel2&gt;</t>
  </si>
  <si>
    <t>&lt;T9Titel3&gt;</t>
  </si>
  <si>
    <t>&lt;T9SpaltenTitel_1&gt;</t>
  </si>
  <si>
    <t>&lt;T9SpaltenTitel_2&gt;</t>
  </si>
  <si>
    <t>&lt;T9SpaltenTitel_5&gt;</t>
  </si>
  <si>
    <t>&lt;T9SpaltenTitel_6&gt;</t>
  </si>
  <si>
    <t>&lt;T9Legende_3&gt;</t>
  </si>
  <si>
    <t>&lt;T9Aktualisierung&gt;</t>
  </si>
  <si>
    <t>T10</t>
  </si>
  <si>
    <t>&lt;T10Titel1&gt;</t>
  </si>
  <si>
    <t>&lt;T10Titel2&gt;</t>
  </si>
  <si>
    <t>&lt;T10Titel3&gt;</t>
  </si>
  <si>
    <t>&lt;T10SpaltenTitel_1&gt;</t>
  </si>
  <si>
    <t>&lt;T10SpaltenTitel_2&gt;</t>
  </si>
  <si>
    <t>&lt;T10SpaltenTitel_5&gt;</t>
  </si>
  <si>
    <t>&lt;T10SpaltenTitel_6&gt;</t>
  </si>
  <si>
    <t>&lt;T10Legende_3&gt;</t>
  </si>
  <si>
    <t>&lt;T10Aktualisierung&gt;</t>
  </si>
  <si>
    <t>T11</t>
  </si>
  <si>
    <t>&lt;T11Titel1&gt;</t>
  </si>
  <si>
    <t>&lt;T11Titel2&gt;</t>
  </si>
  <si>
    <t>&lt;T11Titel3&gt;</t>
  </si>
  <si>
    <t>&lt;T11SpaltenTitel_1&gt;</t>
  </si>
  <si>
    <t>&lt;T11SpaltenTitel_2&gt;</t>
  </si>
  <si>
    <t>&lt;T11SpaltenTitel_5&gt;</t>
  </si>
  <si>
    <t>&lt;T11SpaltenTitel_6&gt;</t>
  </si>
  <si>
    <t>&lt;T11Legende_3&gt;</t>
  </si>
  <si>
    <t>&lt;T11Aktualisierung&gt;</t>
  </si>
  <si>
    <t>&lt;T12Titel1&gt;</t>
  </si>
  <si>
    <t>&lt;T12Titel2&gt;</t>
  </si>
  <si>
    <t>&lt;T12Titel3&gt;</t>
  </si>
  <si>
    <t>&lt;T12SpaltenTitel_1&gt;</t>
  </si>
  <si>
    <t>&lt;T12SpaltenTitel_2&gt;</t>
  </si>
  <si>
    <t>&lt;T12SpaltenTitel_5&gt;</t>
  </si>
  <si>
    <t>&lt;T12SpaltenTitel_6&gt;</t>
  </si>
  <si>
    <t>&lt;T12Legende_3&gt;</t>
  </si>
  <si>
    <t>&lt;T12Aktualisierung&gt;</t>
  </si>
  <si>
    <t>T12</t>
  </si>
  <si>
    <t>INPUT JAHRESZAHL</t>
  </si>
  <si>
    <t>&lt;Titelprov&gt;</t>
  </si>
  <si>
    <t>provisorische Ergebnisse</t>
  </si>
  <si>
    <t>resultats provisorics</t>
  </si>
  <si>
    <t>cifre provvisorie</t>
  </si>
  <si>
    <t>wenn definitiv-&gt; Zeile oben mit diesem Text ersetzen</t>
  </si>
  <si>
    <t>definitive Ergebnisse</t>
  </si>
  <si>
    <t>resultats definitivs</t>
  </si>
  <si>
    <t>cifre definitive</t>
  </si>
  <si>
    <t>Australien</t>
  </si>
  <si>
    <t>Israel</t>
  </si>
  <si>
    <t>Kanada</t>
  </si>
  <si>
    <t>China</t>
  </si>
  <si>
    <t>Indien</t>
  </si>
  <si>
    <t>übrige Golfstaaten</t>
  </si>
  <si>
    <t>übriges Südostasien</t>
  </si>
  <si>
    <t>übriges Osteuropa</t>
  </si>
  <si>
    <t>übriges Zentral- und Südamerika</t>
  </si>
  <si>
    <t>Afrikanischer Kontinent</t>
  </si>
  <si>
    <t>Südosteuropa</t>
  </si>
  <si>
    <t>&lt;Zeilentitel_58&gt;</t>
  </si>
  <si>
    <t>&lt;Zeilentitel_59&gt;</t>
  </si>
  <si>
    <t>&lt;Zeilentitel_60&gt;</t>
  </si>
  <si>
    <t>&lt;Zeilentitel_61&gt;</t>
  </si>
  <si>
    <t>&lt;Zeilentitel_62&gt;</t>
  </si>
  <si>
    <t>Weitere Ländergruppen:</t>
  </si>
  <si>
    <t>Australia</t>
  </si>
  <si>
    <t>Israele</t>
  </si>
  <si>
    <t>Canada</t>
  </si>
  <si>
    <t>Cina</t>
  </si>
  <si>
    <t>Ulteriuras gruppas da pajais:</t>
  </si>
  <si>
    <t>Altri gruppi di paesi:</t>
  </si>
  <si>
    <t>Europa sudorientale</t>
  </si>
  <si>
    <t>altri paesi dell'Europa occidentale</t>
  </si>
  <si>
    <t>altri paesi dell'Europa orientale</t>
  </si>
  <si>
    <t>altri paesi dell'America centrale e meridionale</t>
  </si>
  <si>
    <t>continente africano</t>
  </si>
  <si>
    <t>ulteriurs stadis dal Golf</t>
  </si>
  <si>
    <t>ulteriur pajais da l'Asia dal Sidost</t>
  </si>
  <si>
    <t>continent african</t>
  </si>
  <si>
    <t>Europa dal Sidost</t>
  </si>
  <si>
    <t>ulteriur pajais da l'Europa da l'Ost</t>
  </si>
  <si>
    <t>ulteriur pajais da l'America centrala e dal Sid</t>
  </si>
  <si>
    <t>altri stati del Golfo</t>
  </si>
  <si>
    <t>&lt;Zeilentitel_44.1&gt;</t>
  </si>
  <si>
    <t>&lt;Zeilentitel_44.2&gt;</t>
  </si>
  <si>
    <t>&lt;Zeilentitel_44.3&gt;</t>
  </si>
  <si>
    <t>&lt;Zeilentitel_44.4&gt;</t>
  </si>
  <si>
    <t>&lt;Zeilentitel_44.5&gt;</t>
  </si>
  <si>
    <t>&lt;Zeilentitel_44.6&gt;</t>
  </si>
  <si>
    <t>&lt;Zeilentitel_44.7&gt;</t>
  </si>
  <si>
    <t>&lt;Zeilentitel_44.8&gt;</t>
  </si>
  <si>
    <t>Tschechien</t>
  </si>
  <si>
    <t>Schweden</t>
  </si>
  <si>
    <t>Dänemark</t>
  </si>
  <si>
    <t>Spanien</t>
  </si>
  <si>
    <t>Vereinigte Arabische Emirate</t>
  </si>
  <si>
    <t>Luxemburg</t>
  </si>
  <si>
    <t>Tschechia</t>
  </si>
  <si>
    <t>Svezia</t>
  </si>
  <si>
    <t>Danemarc</t>
  </si>
  <si>
    <t>Spagna</t>
  </si>
  <si>
    <t>Emirats Arabs Unids</t>
  </si>
  <si>
    <t>Repubblica ceca</t>
  </si>
  <si>
    <t>Danimarca</t>
  </si>
  <si>
    <t>Lussemburgo</t>
  </si>
  <si>
    <t>Emirati Arabi Uniti</t>
  </si>
  <si>
    <t>&lt;Legende_1.1&gt;</t>
  </si>
  <si>
    <t>Aktuelle Zuordnung der übrigen Länder zu den Ländergruppen:</t>
  </si>
  <si>
    <t>Attuale classificazione degli altri paesi nei gruppi di paesi:</t>
  </si>
  <si>
    <t>Attribuziun actuala dals ulteriurs pajais a las gruppas da pajais:</t>
  </si>
  <si>
    <t>T13</t>
  </si>
  <si>
    <t>&lt;T13Titel1&gt;</t>
  </si>
  <si>
    <t>&lt;T13Titel2&gt;</t>
  </si>
  <si>
    <t>&lt;T13Titel3&gt;</t>
  </si>
  <si>
    <t>&lt;T13SpaltenTitel_1&gt;</t>
  </si>
  <si>
    <t>&lt;T13SpaltenTitel_2&gt;</t>
  </si>
  <si>
    <t>&lt;T13SpaltenTitel_5&gt;</t>
  </si>
  <si>
    <t>&lt;T13SpaltenTitel_6&gt;</t>
  </si>
  <si>
    <t>Ländergruppe</t>
  </si>
  <si>
    <t>Gruppa da Pajais</t>
  </si>
  <si>
    <t>Gruppo di paese</t>
  </si>
  <si>
    <t>Land</t>
  </si>
  <si>
    <t>Pajais</t>
  </si>
  <si>
    <t>Paese</t>
  </si>
  <si>
    <t>&lt;T13Zeilentitel_1&gt;</t>
  </si>
  <si>
    <t>&lt;T13Zeilentitel_2&gt;</t>
  </si>
  <si>
    <t>&lt;T13Zeilentitel_3&gt;</t>
  </si>
  <si>
    <t>Ägypten</t>
  </si>
  <si>
    <t>Argentinien</t>
  </si>
  <si>
    <t>Bahrain</t>
  </si>
  <si>
    <t>Belarus</t>
  </si>
  <si>
    <t>Bulgarien</t>
  </si>
  <si>
    <t>Chile</t>
  </si>
  <si>
    <t>Estland</t>
  </si>
  <si>
    <t>Finnland</t>
  </si>
  <si>
    <t>Griechenland</t>
  </si>
  <si>
    <t>Hongkong</t>
  </si>
  <si>
    <t>Indonesien</t>
  </si>
  <si>
    <t>Iran</t>
  </si>
  <si>
    <t>Irland</t>
  </si>
  <si>
    <t>Island</t>
  </si>
  <si>
    <t>Katar</t>
  </si>
  <si>
    <t>Korea (Süd-)</t>
  </si>
  <si>
    <t>Kroatien</t>
  </si>
  <si>
    <t>Kuwait</t>
  </si>
  <si>
    <t>Lettland</t>
  </si>
  <si>
    <t>Liechtenstein</t>
  </si>
  <si>
    <t>Litauen</t>
  </si>
  <si>
    <t>Malaysia</t>
  </si>
  <si>
    <t>Malta</t>
  </si>
  <si>
    <t>Mexiko</t>
  </si>
  <si>
    <t>Neuseeland, Ozeanien</t>
  </si>
  <si>
    <t>Norwegen</t>
  </si>
  <si>
    <t>Oman</t>
  </si>
  <si>
    <t>Philippinen</t>
  </si>
  <si>
    <t>Portugal</t>
  </si>
  <si>
    <t>Rumänien</t>
  </si>
  <si>
    <t>Russland</t>
  </si>
  <si>
    <t>Saudi-Arabien</t>
  </si>
  <si>
    <t>Serbien</t>
  </si>
  <si>
    <t>Singapur</t>
  </si>
  <si>
    <t>Slowakei</t>
  </si>
  <si>
    <t>Slowenien</t>
  </si>
  <si>
    <t>Südafrika</t>
  </si>
  <si>
    <t>Thailand</t>
  </si>
  <si>
    <t>Türkei</t>
  </si>
  <si>
    <t>Übriges Afrika</t>
  </si>
  <si>
    <t>Übriges Europa</t>
  </si>
  <si>
    <t>Übriges Nordafrika</t>
  </si>
  <si>
    <t>Übriges Süd- und Ostasien</t>
  </si>
  <si>
    <t>Übriges Südamerika</t>
  </si>
  <si>
    <t>Übriges Westasien</t>
  </si>
  <si>
    <t>Übriges Zentralamerika, Karibik</t>
  </si>
  <si>
    <t>Ukraine</t>
  </si>
  <si>
    <t>Ungarn</t>
  </si>
  <si>
    <t>Zypern</t>
  </si>
  <si>
    <t>&lt;Zeilentitel_44.9&gt;</t>
  </si>
  <si>
    <t>altri paesi di origine</t>
  </si>
  <si>
    <t>ulteriurs pajais d'origin</t>
  </si>
  <si>
    <t>übrige Herkunftsländer</t>
  </si>
  <si>
    <t>einzeln ausgewiesen</t>
  </si>
  <si>
    <t>cumprovà separadamain</t>
  </si>
  <si>
    <t>denominati individualmente</t>
  </si>
  <si>
    <t>&lt;T13Zeilentitel_4&gt;</t>
  </si>
  <si>
    <t>&lt;T13Zeilentitel_5&gt;</t>
  </si>
  <si>
    <t>Egitto</t>
  </si>
  <si>
    <t>Argentina</t>
  </si>
  <si>
    <t>Bahrein</t>
  </si>
  <si>
    <t>Bielorussia</t>
  </si>
  <si>
    <t>Bulgaria</t>
  </si>
  <si>
    <t>Cile</t>
  </si>
  <si>
    <t>Estonia</t>
  </si>
  <si>
    <t>Finlandia</t>
  </si>
  <si>
    <t>Grecia</t>
  </si>
  <si>
    <t>Hong Kong</t>
  </si>
  <si>
    <t>India</t>
  </si>
  <si>
    <t>Indonesia</t>
  </si>
  <si>
    <t>Irlanda</t>
  </si>
  <si>
    <t>Islanda</t>
  </si>
  <si>
    <t>Qatar</t>
  </si>
  <si>
    <t>Corea (Sud)</t>
  </si>
  <si>
    <t>Croazia</t>
  </si>
  <si>
    <t>Lettonia</t>
  </si>
  <si>
    <t>Lituania</t>
  </si>
  <si>
    <t>Messico</t>
  </si>
  <si>
    <t>Nuova Zelanda, Oceania</t>
  </si>
  <si>
    <t>Norvegia</t>
  </si>
  <si>
    <t>Filippine</t>
  </si>
  <si>
    <t>Portogallo</t>
  </si>
  <si>
    <t>Romania</t>
  </si>
  <si>
    <t>Russia</t>
  </si>
  <si>
    <t>Arabia Saudita</t>
  </si>
  <si>
    <t>Serbia</t>
  </si>
  <si>
    <t>Singapore</t>
  </si>
  <si>
    <t>Slovacchia</t>
  </si>
  <si>
    <t>Slovenia</t>
  </si>
  <si>
    <t>Sudafrica</t>
  </si>
  <si>
    <t>Thailandia</t>
  </si>
  <si>
    <t>Turchia</t>
  </si>
  <si>
    <t>Resto dell'Africa</t>
  </si>
  <si>
    <t>Resto dell'Europa</t>
  </si>
  <si>
    <t>Resto dell'Africa settentrionale</t>
  </si>
  <si>
    <t>Resto dell'Asia meridionale e orientale</t>
  </si>
  <si>
    <t>Resto dell'America del Sud</t>
  </si>
  <si>
    <t>Resto dell'Asia occidentale</t>
  </si>
  <si>
    <t>Resto dell'America centrale, Caraibi</t>
  </si>
  <si>
    <t>Ucraina</t>
  </si>
  <si>
    <t>Ungheria</t>
  </si>
  <si>
    <t>Cipro</t>
  </si>
  <si>
    <t>Egipta</t>
  </si>
  <si>
    <t>Finlanda</t>
  </si>
  <si>
    <t>Grezia</t>
  </si>
  <si>
    <t>Corea (Sid)</t>
  </si>
  <si>
    <t>Malaisia</t>
  </si>
  <si>
    <t>Mexico</t>
  </si>
  <si>
    <t>Nova Zelanda, Oceania</t>
  </si>
  <si>
    <t>Filippinas</t>
  </si>
  <si>
    <t>Rumenia</t>
  </si>
  <si>
    <t>Slovachia</t>
  </si>
  <si>
    <t>Africa dal Sid</t>
  </si>
  <si>
    <t>Tailanda</t>
  </si>
  <si>
    <t>Tirchia</t>
  </si>
  <si>
    <t>Ulteriur Africa</t>
  </si>
  <si>
    <t>Ulteriura Europa</t>
  </si>
  <si>
    <t>Ulteriur da l'Africa dal Nord</t>
  </si>
  <si>
    <t>Ulteriur pajais da l'Asia dal Sid e da l'Ost</t>
  </si>
  <si>
    <t>Ulteriur America dal Sid</t>
  </si>
  <si>
    <t>Ulteriur pajais da l'Asia dal Vest</t>
  </si>
  <si>
    <t>Ulteriur America Centrala, Caribica</t>
  </si>
  <si>
    <t>Ungaria</t>
  </si>
  <si>
    <t>Cipra</t>
  </si>
  <si>
    <t>&lt;T13Zeilentitel_6&gt;</t>
  </si>
  <si>
    <t>&lt;T13Zeilentitel_7&gt;</t>
  </si>
  <si>
    <t>&lt;T13Zeilentitel_8&gt;</t>
  </si>
  <si>
    <t>&lt;T13Zeilentitel_9&gt;</t>
  </si>
  <si>
    <t>&lt;T13Zeilentitel_10&gt;</t>
  </si>
  <si>
    <t>&lt;T13Zeilentitel_11&gt;</t>
  </si>
  <si>
    <t>&lt;T13Zeilentitel_12&gt;</t>
  </si>
  <si>
    <t>&lt;T13Zeilentitel_13&gt;</t>
  </si>
  <si>
    <t>&lt;T13Zeilentitel_14&gt;</t>
  </si>
  <si>
    <t>&lt;T13Zeilentitel_15&gt;</t>
  </si>
  <si>
    <t>&lt;T13Zeilentitel_16&gt;</t>
  </si>
  <si>
    <t>&lt;T13Zeilentitel_17&gt;</t>
  </si>
  <si>
    <t>&lt;T13Zeilentitel_18&gt;</t>
  </si>
  <si>
    <t>&lt;T13Zeilentitel_19&gt;</t>
  </si>
  <si>
    <t>&lt;T13Zeilentitel_21&gt;</t>
  </si>
  <si>
    <t>&lt;T13Zeilentitel_20&gt;</t>
  </si>
  <si>
    <t>&lt;T13Zeilentitel_22&gt;</t>
  </si>
  <si>
    <t>&lt;T13Zeilentitel_23&gt;</t>
  </si>
  <si>
    <t>&lt;T13Zeilentitel_24&gt;</t>
  </si>
  <si>
    <t>&lt;T13Zeilentitel_25&gt;</t>
  </si>
  <si>
    <t>&lt;T13Zeilentitel_26&gt;</t>
  </si>
  <si>
    <t>&lt;T13Zeilentitel_27&gt;</t>
  </si>
  <si>
    <t>&lt;T13Zeilentitel_28&gt;</t>
  </si>
  <si>
    <t>&lt;T13Zeilentitel_29&gt;</t>
  </si>
  <si>
    <t>&lt;T13Zeilentitel_30&gt;</t>
  </si>
  <si>
    <t>&lt;T13Zeilentitel_31&gt;</t>
  </si>
  <si>
    <t>&lt;T13Zeilentitel_32&gt;</t>
  </si>
  <si>
    <t>&lt;T13Zeilentitel_33&gt;</t>
  </si>
  <si>
    <t>&lt;T13Zeilentitel_34&gt;</t>
  </si>
  <si>
    <t>&lt;T13Zeilentitel_35&gt;</t>
  </si>
  <si>
    <t>&lt;T13Zeilentitel_36&gt;</t>
  </si>
  <si>
    <t>&lt;T13Zeilentitel_37&gt;</t>
  </si>
  <si>
    <t>&lt;T13Zeilentitel_38&gt;</t>
  </si>
  <si>
    <t>&lt;T13Zeilentitel_39&gt;</t>
  </si>
  <si>
    <t>&lt;T13Zeilentitel_40&gt;</t>
  </si>
  <si>
    <t>&lt;T13Zeilentitel_41&gt;</t>
  </si>
  <si>
    <t>&lt;T13Zeilentitel_42&gt;</t>
  </si>
  <si>
    <t>&lt;T13Zeilentitel_43&gt;</t>
  </si>
  <si>
    <t>&lt;T13Zeilentitel_44&gt;</t>
  </si>
  <si>
    <t>&lt;T13Zeilentitel_45&gt;</t>
  </si>
  <si>
    <t>&lt;T13Zeilentitel_46&gt;</t>
  </si>
  <si>
    <t>&lt;T13Zeilentitel_47&gt;</t>
  </si>
  <si>
    <t>&lt;T13Zeilentitel_48&gt;</t>
  </si>
  <si>
    <t>&lt;T13Zeilentitel_49&gt;</t>
  </si>
  <si>
    <t>&lt;T13Zeilentitel_50&gt;</t>
  </si>
  <si>
    <t>&lt;T13Zeilentitel_51&gt;</t>
  </si>
  <si>
    <t>&lt;T13Zeilentitel_52&gt;</t>
  </si>
  <si>
    <t>&lt;T13Zeilentitel_53&gt;</t>
  </si>
  <si>
    <t>&lt;T13Zeilentitel_54&gt;</t>
  </si>
  <si>
    <t>&lt;T13Zeilentitel_55&gt;</t>
  </si>
  <si>
    <t>&lt;T13Zeilentitel_56&gt;</t>
  </si>
  <si>
    <t>&lt;T13Zeilentitel_57&gt;</t>
  </si>
  <si>
    <t>&lt;T13Zeilentitel_58&gt;</t>
  </si>
  <si>
    <t>&lt;T13Zeilentitel_59&gt;</t>
  </si>
  <si>
    <t>&lt;T13Zeilentitel_60&gt;</t>
  </si>
  <si>
    <t>&lt;T13Zeilentitel_61&gt;</t>
  </si>
  <si>
    <t>&lt;T13Zeilentitel_62&gt;</t>
  </si>
  <si>
    <t>&lt;T13Zeilentitel_63&gt;</t>
  </si>
  <si>
    <t>&lt;T13Zeilentitel_64&gt;</t>
  </si>
  <si>
    <t>&lt;T13Zeilentitel_65&gt;</t>
  </si>
  <si>
    <t>&lt;T13Zeilentitel_66&gt;</t>
  </si>
  <si>
    <t>&lt;T13Zeilentitel_67&gt;</t>
  </si>
  <si>
    <t>&lt;T13Zeilentitel_68&gt;</t>
  </si>
  <si>
    <t>&lt;T13Zeilentitel_69&gt;</t>
  </si>
  <si>
    <t>&lt;T13Zeilentitel_70&gt;</t>
  </si>
  <si>
    <t>&lt;T13Zeilentitel_71&gt;</t>
  </si>
  <si>
    <t>&lt;T13Zeilentitel_72&gt;</t>
  </si>
  <si>
    <t>&lt;T13Zeilentitel_73&gt;</t>
  </si>
  <si>
    <t>Länder / Pajais / Paese</t>
  </si>
  <si>
    <t>&lt;T13Aktualisierung&gt;</t>
  </si>
  <si>
    <t>Letztmals aktualisiert am: 30.01.2025</t>
  </si>
  <si>
    <t>Ultima actualisaziun: 30.01.2025</t>
  </si>
  <si>
    <t>Ultimo aggiornamento: 30.01.2025</t>
  </si>
  <si>
    <t>übriges West- und Nordeuropa</t>
  </si>
  <si>
    <t>Taiwan</t>
  </si>
  <si>
    <t>ulteriur pajais da l'Europa dal Vest e dal Nord</t>
  </si>
  <si>
    <t>altri paesi del Sud-Est asiatico e settentrionale</t>
  </si>
  <si>
    <r>
      <t xml:space="preserve">Daten des März 2025 erscheinen am </t>
    </r>
    <r>
      <rPr>
        <b/>
        <sz val="10"/>
        <rFont val="Arial"/>
        <family val="2"/>
      </rPr>
      <t>6. Mai 2025.</t>
    </r>
  </si>
  <si>
    <r>
      <t xml:space="preserve">Datas dal mars 2025 cumparan ils </t>
    </r>
    <r>
      <rPr>
        <b/>
        <sz val="10"/>
        <rFont val="Arial"/>
        <family val="2"/>
      </rPr>
      <t>6 da matg 2025</t>
    </r>
    <r>
      <rPr>
        <sz val="10"/>
        <rFont val="Arial"/>
        <family val="2"/>
      </rPr>
      <t>.</t>
    </r>
  </si>
  <si>
    <r>
      <t xml:space="preserve">I dati del marzo 2025 saranno pubblicati il </t>
    </r>
    <r>
      <rPr>
        <b/>
        <sz val="10"/>
        <rFont val="Arial"/>
        <family val="2"/>
      </rPr>
      <t>6 maggio 2025</t>
    </r>
    <r>
      <rPr>
        <sz val="10"/>
        <rFont val="Arial"/>
        <family val="2"/>
      </rPr>
      <t>.</t>
    </r>
  </si>
  <si>
    <t>Letztmals aktualisiert am: 22.02.2025</t>
  </si>
  <si>
    <t>Ultima actualisaziun: 22.02.2025</t>
  </si>
  <si>
    <t>Ultimo aggiornamento: 22.02.2025</t>
  </si>
  <si>
    <r>
      <t xml:space="preserve">Daten des Mai 2025 erscheinen am </t>
    </r>
    <r>
      <rPr>
        <b/>
        <sz val="10"/>
        <rFont val="Arial"/>
        <family val="2"/>
      </rPr>
      <t>5. Juli 2025.</t>
    </r>
  </si>
  <si>
    <r>
      <t>Datas dal matg 2025 cumparan ils</t>
    </r>
    <r>
      <rPr>
        <b/>
        <sz val="10"/>
        <rFont val="Arial"/>
        <family val="2"/>
      </rPr>
      <t xml:space="preserve"> 5 da fanadur 2025</t>
    </r>
    <r>
      <rPr>
        <sz val="10"/>
        <rFont val="Arial"/>
        <family val="2"/>
      </rPr>
      <t>.</t>
    </r>
  </si>
  <si>
    <r>
      <t>I dati del maggio 2025 saranno pubblicati il</t>
    </r>
    <r>
      <rPr>
        <b/>
        <sz val="10"/>
        <rFont val="Arial"/>
        <family val="2"/>
      </rPr>
      <t xml:space="preserve"> 5 luglio 2025.</t>
    </r>
  </si>
  <si>
    <r>
      <t xml:space="preserve">Daten des Mai 2025 erscheinen am </t>
    </r>
    <r>
      <rPr>
        <b/>
        <sz val="10"/>
        <rFont val="Arial"/>
        <family val="2"/>
      </rPr>
      <t>6. Juli 2025.</t>
    </r>
  </si>
  <si>
    <r>
      <t xml:space="preserve">Datas dal matg 2025 cumparan ils </t>
    </r>
    <r>
      <rPr>
        <b/>
        <sz val="10"/>
        <rFont val="Arial"/>
        <family val="2"/>
      </rPr>
      <t>6 da fanadur 2025</t>
    </r>
    <r>
      <rPr>
        <sz val="10"/>
        <rFont val="Arial"/>
        <family val="2"/>
      </rPr>
      <t>.</t>
    </r>
  </si>
  <si>
    <r>
      <t xml:space="preserve">I dati del maggio 2025 saranno pubblicati il </t>
    </r>
    <r>
      <rPr>
        <b/>
        <sz val="10"/>
        <rFont val="Arial"/>
        <family val="2"/>
      </rPr>
      <t>6 luglio 2025.</t>
    </r>
  </si>
  <si>
    <r>
      <t>Daten des Juni 2025 erscheinen am</t>
    </r>
    <r>
      <rPr>
        <b/>
        <sz val="10"/>
        <rFont val="Arial"/>
        <family val="2"/>
      </rPr>
      <t xml:space="preserve"> 5. August 2025.</t>
    </r>
  </si>
  <si>
    <r>
      <t>Datas dal zercladur 2025 cumparan ils</t>
    </r>
    <r>
      <rPr>
        <b/>
        <sz val="10"/>
        <rFont val="Arial"/>
        <family val="2"/>
      </rPr>
      <t xml:space="preserve"> 5 da avust 2025.</t>
    </r>
  </si>
  <si>
    <r>
      <t>I dati del giugno 2025 saranno pubblicati il</t>
    </r>
    <r>
      <rPr>
        <b/>
        <sz val="10"/>
        <rFont val="Arial"/>
        <family val="2"/>
      </rPr>
      <t xml:space="preserve"> 5 agosto 2025.</t>
    </r>
  </si>
  <si>
    <r>
      <t xml:space="preserve">Daten des Juli 2025 erscheinen am </t>
    </r>
    <r>
      <rPr>
        <b/>
        <sz val="10"/>
        <rFont val="Arial"/>
        <family val="2"/>
      </rPr>
      <t>5. September 2025.</t>
    </r>
  </si>
  <si>
    <r>
      <t xml:space="preserve">Datas dal fanadur 2025 cumparan ils </t>
    </r>
    <r>
      <rPr>
        <b/>
        <sz val="10"/>
        <rFont val="Arial"/>
        <family val="2"/>
      </rPr>
      <t>5 da september 2025.</t>
    </r>
  </si>
  <si>
    <r>
      <t xml:space="preserve">I dati del luglio 2025 saranno pubblicati il </t>
    </r>
    <r>
      <rPr>
        <b/>
        <sz val="10"/>
        <rFont val="Arial"/>
        <family val="2"/>
      </rPr>
      <t>5 settembre 2025.</t>
    </r>
  </si>
  <si>
    <r>
      <t>Daten des August 2025 erscheinen am</t>
    </r>
    <r>
      <rPr>
        <b/>
        <sz val="10"/>
        <rFont val="Arial"/>
        <family val="2"/>
      </rPr>
      <t xml:space="preserve"> 4. Oktober 2025.</t>
    </r>
  </si>
  <si>
    <r>
      <t>Datas dal avust 2025 cumparan ils</t>
    </r>
    <r>
      <rPr>
        <b/>
        <sz val="10"/>
        <rFont val="Arial"/>
        <family val="2"/>
      </rPr>
      <t xml:space="preserve"> 4 da october 2025</t>
    </r>
    <r>
      <rPr>
        <sz val="10"/>
        <rFont val="Arial"/>
        <family val="2"/>
      </rPr>
      <t>.</t>
    </r>
  </si>
  <si>
    <r>
      <t xml:space="preserve">I dati del agosto 2025 saranno pubblicati il </t>
    </r>
    <r>
      <rPr>
        <b/>
        <sz val="10"/>
        <rFont val="Arial"/>
        <family val="2"/>
      </rPr>
      <t>4 ottobre 2025.</t>
    </r>
  </si>
  <si>
    <r>
      <t>Daten des September 2025 erscheinen am</t>
    </r>
    <r>
      <rPr>
        <b/>
        <sz val="10"/>
        <rFont val="Arial"/>
        <family val="2"/>
      </rPr>
      <t xml:space="preserve"> 4. November 2025.</t>
    </r>
  </si>
  <si>
    <r>
      <t>Datas dal september 2025 cumparan ils</t>
    </r>
    <r>
      <rPr>
        <b/>
        <sz val="10"/>
        <rFont val="Arial"/>
        <family val="2"/>
      </rPr>
      <t xml:space="preserve"> 4 da november 2025</t>
    </r>
    <r>
      <rPr>
        <sz val="10"/>
        <rFont val="Arial"/>
        <family val="2"/>
      </rPr>
      <t>.</t>
    </r>
  </si>
  <si>
    <r>
      <t xml:space="preserve">I dati del settembre 2025 saranno pubblicati il </t>
    </r>
    <r>
      <rPr>
        <b/>
        <sz val="10"/>
        <rFont val="Arial"/>
        <family val="2"/>
      </rPr>
      <t>3 novembre 2025.</t>
    </r>
  </si>
  <si>
    <r>
      <t xml:space="preserve">Daten des Oktober 2025 erscheinen am </t>
    </r>
    <r>
      <rPr>
        <b/>
        <sz val="10"/>
        <rFont val="Arial"/>
        <family val="2"/>
      </rPr>
      <t>5. Dezember 2025.</t>
    </r>
  </si>
  <si>
    <r>
      <t xml:space="preserve">Datas dal oktober 2025 cumparan ils </t>
    </r>
    <r>
      <rPr>
        <b/>
        <sz val="10"/>
        <rFont val="Arial"/>
        <family val="2"/>
      </rPr>
      <t>5 da dezember 2025.</t>
    </r>
  </si>
  <si>
    <r>
      <t xml:space="preserve">I dati del ottobre 2025 saranno pubblicati il </t>
    </r>
    <r>
      <rPr>
        <b/>
        <sz val="10"/>
        <rFont val="Arial"/>
        <family val="2"/>
      </rPr>
      <t>5 dicembre 2025.</t>
    </r>
  </si>
  <si>
    <r>
      <t xml:space="preserve">Daten des November 2025 erscheinen am </t>
    </r>
    <r>
      <rPr>
        <b/>
        <sz val="10"/>
        <rFont val="Arial"/>
        <family val="2"/>
      </rPr>
      <t>16. Januar 2026.</t>
    </r>
  </si>
  <si>
    <r>
      <t xml:space="preserve">Datas dal november 2025 cumparan ils </t>
    </r>
    <r>
      <rPr>
        <b/>
        <sz val="10"/>
        <rFont val="Arial"/>
        <family val="2"/>
      </rPr>
      <t>16 da schaner 2026.</t>
    </r>
  </si>
  <si>
    <r>
      <t xml:space="preserve">I dati del novembere 2025 saranno pubblicati il </t>
    </r>
    <r>
      <rPr>
        <b/>
        <sz val="10"/>
        <rFont val="Arial"/>
        <family val="2"/>
      </rPr>
      <t>16 gennaio 2026.</t>
    </r>
  </si>
  <si>
    <t>Letztmals aktualisiert am: 22.02.2026</t>
  </si>
  <si>
    <t>Ultima actualisaziun: 22.02.2026</t>
  </si>
  <si>
    <t>Ultimo aggiornamento: 22.02.2026</t>
  </si>
  <si>
    <r>
      <t>Daten des Dezember 2025 erscheinen am</t>
    </r>
    <r>
      <rPr>
        <b/>
        <sz val="10"/>
        <rFont val="Arial"/>
        <family val="2"/>
      </rPr>
      <t xml:space="preserve"> 20. Februar 2026.</t>
    </r>
  </si>
  <si>
    <r>
      <t xml:space="preserve">Datas dal dezember 2025 cumparan ils </t>
    </r>
    <r>
      <rPr>
        <b/>
        <sz val="10"/>
        <rFont val="Arial"/>
        <family val="2"/>
      </rPr>
      <t>20 da fevrer 2026</t>
    </r>
    <r>
      <rPr>
        <sz val="10"/>
        <rFont val="Arial"/>
        <family val="2"/>
      </rPr>
      <t>.</t>
    </r>
  </si>
  <si>
    <r>
      <t xml:space="preserve">I dati del dicembre 2025 saranno pubblicati il </t>
    </r>
    <r>
      <rPr>
        <b/>
        <sz val="10"/>
        <rFont val="Arial"/>
        <family val="2"/>
      </rPr>
      <t>20 febbraio 2026.</t>
    </r>
  </si>
  <si>
    <r>
      <t xml:space="preserve">Daten des Januar 2026 erscheinen am </t>
    </r>
    <r>
      <rPr>
        <b/>
        <sz val="10"/>
        <rFont val="Arial"/>
        <family val="2"/>
      </rPr>
      <t>10. März 2026.</t>
    </r>
  </si>
  <si>
    <r>
      <t xml:space="preserve">Datas dal schaner 2026 cumparan ils </t>
    </r>
    <r>
      <rPr>
        <b/>
        <sz val="10"/>
        <rFont val="Arial"/>
        <family val="2"/>
      </rPr>
      <t>10 da marz 2026</t>
    </r>
    <r>
      <rPr>
        <sz val="10"/>
        <rFont val="Arial"/>
        <family val="2"/>
      </rPr>
      <t>.</t>
    </r>
  </si>
  <si>
    <r>
      <t xml:space="preserve">I dati del gennaio 2026 saranno pubblicati il </t>
    </r>
    <r>
      <rPr>
        <b/>
        <sz val="10"/>
        <rFont val="Arial"/>
        <family val="2"/>
      </rPr>
      <t>10 marzo 2026.</t>
    </r>
  </si>
  <si>
    <t>Letztmals aktualisiert am: 09.03.2026</t>
  </si>
  <si>
    <t>Ultima actualisaziun: 09.03.2026</t>
  </si>
  <si>
    <t>Ultimo aggiornamento: 09.03.2026</t>
  </si>
  <si>
    <r>
      <t>Daten des Februar 2026 erscheinen am</t>
    </r>
    <r>
      <rPr>
        <b/>
        <sz val="10"/>
        <rFont val="Arial"/>
        <family val="2"/>
      </rPr>
      <t xml:space="preserve"> 7. April 2026.</t>
    </r>
  </si>
  <si>
    <r>
      <t>Datas dal fevrer 2026 cumparan ils</t>
    </r>
    <r>
      <rPr>
        <b/>
        <sz val="10"/>
        <rFont val="Arial"/>
        <family val="2"/>
      </rPr>
      <t xml:space="preserve"> 7 da avrigl 2026.</t>
    </r>
  </si>
  <si>
    <r>
      <t>I dati del febbraio 2026 saranno pubblicati il</t>
    </r>
    <r>
      <rPr>
        <b/>
        <sz val="10"/>
        <rFont val="Arial"/>
        <family val="2"/>
      </rPr>
      <t xml:space="preserve"> 7 aprile 2026.</t>
    </r>
  </si>
  <si>
    <t>(10'409)</t>
  </si>
  <si>
    <t>*</t>
  </si>
  <si>
    <t>* Daten der Valposchiavo werden revidiert und sind bis auf Weiteres nur mit grosser Vorsicht zu betrachten.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</si>
</sst>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#\ ###\ ###\ ##0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sz val="10"/>
      <name val="Helv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Segoe UI"/>
      <family val="2"/>
    </font>
    <font>
      <b/>
      <sz val="18"/>
      <name val="Arial"/>
      <family val="2"/>
    </font>
    <font>
      <b/>
      <u/>
      <sz val="10"/>
      <name val="Arial"/>
      <family val="2"/>
    </font>
    <font>
      <b/>
      <sz val="10"/>
      <color indexed="8"/>
      <name val="Arial Narrow"/>
      <family val="2"/>
    </font>
    <font>
      <b/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9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1" fillId="0" borderId="0"/>
    <xf numFmtId="0" fontId="8" fillId="0" borderId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0" fontId="11" fillId="0" borderId="0"/>
    <xf numFmtId="0" fontId="12" fillId="0" borderId="0" applyNumberFormat="0" applyFill="0" applyBorder="0" applyAlignment="0" applyProtection="0"/>
    <xf numFmtId="0" fontId="14" fillId="0" borderId="0" applyNumberFormat="0" applyBorder="0" applyAlignment="0"/>
    <xf numFmtId="43" fontId="14" fillId="0" borderId="0" applyFont="0" applyFill="0" applyBorder="0" applyAlignment="0" applyProtection="0"/>
  </cellStyleXfs>
  <cellXfs count="143">
    <xf numFmtId="0" fontId="0" fillId="0" borderId="0" xfId="0"/>
    <xf numFmtId="0" fontId="6" fillId="2" borderId="0" xfId="1" applyFont="1" applyFill="1" applyBorder="1"/>
    <xf numFmtId="0" fontId="7" fillId="2" borderId="0" xfId="1" applyFont="1" applyFill="1" applyAlignment="1" applyProtection="1">
      <alignment horizontal="left"/>
      <protection locked="0"/>
    </xf>
    <xf numFmtId="0" fontId="3" fillId="2" borderId="0" xfId="1" applyFill="1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164" fontId="0" fillId="2" borderId="16" xfId="6" applyNumberFormat="1" applyFont="1" applyFill="1" applyBorder="1" applyAlignment="1">
      <alignment horizontal="right" vertical="center"/>
    </xf>
    <xf numFmtId="164" fontId="0" fillId="2" borderId="17" xfId="6" applyNumberFormat="1" applyFont="1" applyFill="1" applyBorder="1" applyAlignment="1">
      <alignment horizontal="right" vertical="center"/>
    </xf>
    <xf numFmtId="164" fontId="0" fillId="2" borderId="21" xfId="6" applyNumberFormat="1" applyFont="1" applyFill="1" applyBorder="1" applyAlignment="1">
      <alignment horizontal="right" vertical="center"/>
    </xf>
    <xf numFmtId="165" fontId="2" fillId="2" borderId="6" xfId="5" applyNumberFormat="1" applyFont="1" applyFill="1" applyBorder="1" applyAlignment="1">
      <alignment horizontal="right" vertical="center"/>
    </xf>
    <xf numFmtId="165" fontId="2" fillId="2" borderId="9" xfId="5" applyNumberFormat="1" applyFont="1" applyFill="1" applyBorder="1" applyAlignment="1">
      <alignment horizontal="right" vertical="center"/>
    </xf>
    <xf numFmtId="165" fontId="0" fillId="2" borderId="0" xfId="0" applyNumberFormat="1" applyFill="1"/>
    <xf numFmtId="166" fontId="0" fillId="2" borderId="0" xfId="0" applyNumberFormat="1" applyFill="1"/>
    <xf numFmtId="165" fontId="0" fillId="2" borderId="4" xfId="5" applyNumberFormat="1" applyFont="1" applyFill="1" applyBorder="1" applyAlignment="1">
      <alignment horizontal="right" vertical="center"/>
    </xf>
    <xf numFmtId="165" fontId="0" fillId="2" borderId="8" xfId="5" applyNumberFormat="1" applyFont="1" applyFill="1" applyBorder="1" applyAlignment="1">
      <alignment horizontal="right" vertical="center"/>
    </xf>
    <xf numFmtId="165" fontId="0" fillId="2" borderId="5" xfId="5" applyNumberFormat="1" applyFont="1" applyFill="1" applyBorder="1" applyAlignment="1">
      <alignment horizontal="right" vertical="center"/>
    </xf>
    <xf numFmtId="17" fontId="2" fillId="3" borderId="13" xfId="0" applyNumberFormat="1" applyFont="1" applyFill="1" applyBorder="1" applyAlignment="1">
      <alignment horizontal="right" vertical="center" wrapText="1"/>
    </xf>
    <xf numFmtId="17" fontId="0" fillId="3" borderId="14" xfId="0" applyNumberFormat="1" applyFill="1" applyBorder="1" applyAlignment="1">
      <alignment horizontal="right" vertical="center" wrapText="1"/>
    </xf>
    <xf numFmtId="0" fontId="0" fillId="3" borderId="15" xfId="0" applyNumberFormat="1" applyFill="1" applyBorder="1" applyAlignment="1">
      <alignment horizontal="right" vertical="center" wrapText="1"/>
    </xf>
    <xf numFmtId="0" fontId="0" fillId="3" borderId="18" xfId="0" applyNumberForma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/>
    </xf>
    <xf numFmtId="0" fontId="0" fillId="2" borderId="22" xfId="0" applyFill="1" applyBorder="1"/>
    <xf numFmtId="0" fontId="2" fillId="2" borderId="23" xfId="0" applyFont="1" applyFill="1" applyBorder="1" applyAlignment="1">
      <alignment vertical="center"/>
    </xf>
    <xf numFmtId="0" fontId="0" fillId="2" borderId="0" xfId="0" applyNumberFormat="1" applyFill="1"/>
    <xf numFmtId="0" fontId="0" fillId="2" borderId="0" xfId="0" applyNumberFormat="1" applyFill="1" applyBorder="1"/>
    <xf numFmtId="165" fontId="2" fillId="2" borderId="0" xfId="5" applyNumberFormat="1" applyFont="1" applyFill="1" applyBorder="1" applyAlignment="1">
      <alignment horizontal="right" vertical="center"/>
    </xf>
    <xf numFmtId="165" fontId="2" fillId="2" borderId="7" xfId="5" applyNumberFormat="1" applyFont="1" applyFill="1" applyBorder="1" applyAlignment="1">
      <alignment horizontal="right" vertical="center"/>
    </xf>
    <xf numFmtId="0" fontId="2" fillId="2" borderId="0" xfId="0" applyFont="1" applyFill="1"/>
    <xf numFmtId="165" fontId="2" fillId="2" borderId="24" xfId="5" applyNumberFormat="1" applyFont="1" applyFill="1" applyBorder="1" applyAlignment="1">
      <alignment horizontal="right" vertical="center"/>
    </xf>
    <xf numFmtId="164" fontId="0" fillId="2" borderId="4" xfId="6" applyNumberFormat="1" applyFont="1" applyFill="1" applyBorder="1" applyAlignment="1">
      <alignment horizontal="right" vertical="center"/>
    </xf>
    <xf numFmtId="0" fontId="13" fillId="2" borderId="0" xfId="3" applyFont="1" applyFill="1" applyBorder="1"/>
    <xf numFmtId="0" fontId="2" fillId="2" borderId="0" xfId="0" applyFont="1" applyFill="1" applyBorder="1"/>
    <xf numFmtId="165" fontId="1" fillId="2" borderId="0" xfId="5" applyNumberFormat="1" applyFont="1" applyFill="1" applyBorder="1" applyAlignment="1">
      <alignment horizontal="right" vertical="center"/>
    </xf>
    <xf numFmtId="164" fontId="1" fillId="2" borderId="0" xfId="6" applyNumberFormat="1" applyFont="1" applyFill="1" applyBorder="1" applyAlignment="1">
      <alignment horizontal="right" vertical="center"/>
    </xf>
    <xf numFmtId="164" fontId="0" fillId="2" borderId="0" xfId="0" applyNumberFormat="1" applyFont="1" applyFill="1" applyBorder="1" applyAlignment="1">
      <alignment horizontal="right" vertical="center"/>
    </xf>
    <xf numFmtId="0" fontId="2" fillId="2" borderId="3" xfId="0" applyFont="1" applyFill="1" applyBorder="1"/>
    <xf numFmtId="165" fontId="1" fillId="2" borderId="5" xfId="5" applyNumberFormat="1" applyFont="1" applyFill="1" applyBorder="1" applyAlignment="1">
      <alignment horizontal="right" vertical="center"/>
    </xf>
    <xf numFmtId="164" fontId="1" fillId="2" borderId="26" xfId="6" applyNumberFormat="1" applyFont="1" applyFill="1" applyBorder="1" applyAlignment="1">
      <alignment horizontal="right" vertical="center"/>
    </xf>
    <xf numFmtId="165" fontId="2" fillId="2" borderId="27" xfId="5" applyNumberFormat="1" applyFont="1" applyFill="1" applyBorder="1" applyAlignment="1">
      <alignment horizontal="right" vertical="center"/>
    </xf>
    <xf numFmtId="164" fontId="0" fillId="2" borderId="8" xfId="6" applyNumberFormat="1" applyFont="1" applyFill="1" applyBorder="1" applyAlignment="1">
      <alignment horizontal="right" vertical="center"/>
    </xf>
    <xf numFmtId="164" fontId="0" fillId="2" borderId="19" xfId="0" applyNumberFormat="1" applyFill="1" applyBorder="1" applyAlignment="1">
      <alignment horizontal="right" vertical="center"/>
    </xf>
    <xf numFmtId="164" fontId="0" fillId="2" borderId="25" xfId="0" applyNumberFormat="1" applyFont="1" applyFill="1" applyBorder="1" applyAlignment="1">
      <alignment horizontal="right" vertical="center"/>
    </xf>
    <xf numFmtId="164" fontId="0" fillId="2" borderId="28" xfId="0" applyNumberFormat="1" applyFill="1" applyBorder="1" applyAlignment="1">
      <alignment horizontal="right" vertical="center"/>
    </xf>
    <xf numFmtId="164" fontId="0" fillId="2" borderId="20" xfId="6" applyNumberFormat="1" applyFont="1" applyFill="1" applyBorder="1" applyAlignment="1">
      <alignment horizontal="right" vertical="center"/>
    </xf>
    <xf numFmtId="164" fontId="0" fillId="2" borderId="28" xfId="6" applyNumberFormat="1" applyFont="1" applyFill="1" applyBorder="1" applyAlignment="1">
      <alignment horizontal="right" vertical="center"/>
    </xf>
    <xf numFmtId="0" fontId="12" fillId="2" borderId="0" xfId="10" applyFill="1"/>
    <xf numFmtId="0" fontId="7" fillId="2" borderId="0" xfId="0" applyFont="1" applyFill="1"/>
    <xf numFmtId="165" fontId="2" fillId="2" borderId="6" xfId="5" applyNumberFormat="1" applyFont="1" applyFill="1" applyBorder="1" applyAlignment="1"/>
    <xf numFmtId="165" fontId="0" fillId="2" borderId="4" xfId="5" applyNumberFormat="1" applyFont="1" applyFill="1" applyBorder="1" applyAlignment="1"/>
    <xf numFmtId="164" fontId="0" fillId="2" borderId="16" xfId="6" applyNumberFormat="1" applyFont="1" applyFill="1" applyBorder="1" applyAlignment="1"/>
    <xf numFmtId="164" fontId="0" fillId="2" borderId="19" xfId="0" applyNumberFormat="1" applyFill="1" applyBorder="1" applyAlignment="1"/>
    <xf numFmtId="165" fontId="0" fillId="2" borderId="6" xfId="5" applyNumberFormat="1" applyFont="1" applyFill="1" applyBorder="1" applyAlignment="1"/>
    <xf numFmtId="165" fontId="2" fillId="2" borderId="9" xfId="5" applyNumberFormat="1" applyFont="1" applyFill="1" applyBorder="1" applyAlignment="1"/>
    <xf numFmtId="165" fontId="1" fillId="2" borderId="9" xfId="5" applyNumberFormat="1" applyFont="1" applyFill="1" applyBorder="1" applyAlignment="1"/>
    <xf numFmtId="164" fontId="0" fillId="2" borderId="28" xfId="0" applyNumberFormat="1" applyFill="1" applyBorder="1" applyAlignment="1">
      <alignment horizontal="right"/>
    </xf>
    <xf numFmtId="165" fontId="2" fillId="2" borderId="6" xfId="5" applyNumberFormat="1" applyFont="1" applyFill="1" applyBorder="1" applyAlignment="1">
      <alignment horizontal="right"/>
    </xf>
    <xf numFmtId="0" fontId="0" fillId="5" borderId="2" xfId="0" applyFill="1" applyBorder="1"/>
    <xf numFmtId="165" fontId="2" fillId="5" borderId="6" xfId="5" applyNumberFormat="1" applyFont="1" applyFill="1" applyBorder="1" applyAlignment="1">
      <alignment horizontal="right" vertical="center"/>
    </xf>
    <xf numFmtId="165" fontId="0" fillId="5" borderId="4" xfId="5" applyNumberFormat="1" applyFont="1" applyFill="1" applyBorder="1" applyAlignment="1">
      <alignment horizontal="right" vertical="center"/>
    </xf>
    <xf numFmtId="164" fontId="0" fillId="5" borderId="16" xfId="6" applyNumberFormat="1" applyFont="1" applyFill="1" applyBorder="1" applyAlignment="1">
      <alignment horizontal="right" vertical="center"/>
    </xf>
    <xf numFmtId="164" fontId="0" fillId="5" borderId="19" xfId="0" applyNumberFormat="1" applyFill="1" applyBorder="1" applyAlignment="1">
      <alignment horizontal="right" vertical="center"/>
    </xf>
    <xf numFmtId="164" fontId="1" fillId="2" borderId="21" xfId="6" applyNumberFormat="1" applyFont="1" applyFill="1" applyBorder="1" applyAlignment="1">
      <alignment horizontal="right" vertical="center"/>
    </xf>
    <xf numFmtId="164" fontId="1" fillId="2" borderId="20" xfId="6" applyNumberFormat="1" applyFont="1" applyFill="1" applyBorder="1" applyAlignment="1">
      <alignment horizontal="right" vertical="center"/>
    </xf>
    <xf numFmtId="0" fontId="12" fillId="0" borderId="0" xfId="10"/>
    <xf numFmtId="0" fontId="3" fillId="2" borderId="0" xfId="0" applyFont="1" applyFill="1"/>
    <xf numFmtId="0" fontId="5" fillId="2" borderId="0" xfId="0" applyFont="1" applyFill="1"/>
    <xf numFmtId="0" fontId="3" fillId="0" borderId="0" xfId="0" applyFont="1" applyBorder="1" applyAlignment="1">
      <alignment horizontal="left" vertical="top" wrapText="1"/>
    </xf>
    <xf numFmtId="0" fontId="9" fillId="4" borderId="23" xfId="0" applyFont="1" applyFill="1" applyBorder="1" applyAlignment="1">
      <alignment horizontal="left" vertical="center"/>
    </xf>
    <xf numFmtId="164" fontId="0" fillId="2" borderId="16" xfId="0" applyNumberFormat="1" applyFill="1" applyBorder="1" applyAlignment="1"/>
    <xf numFmtId="164" fontId="0" fillId="2" borderId="17" xfId="0" applyNumberFormat="1" applyFill="1" applyBorder="1" applyAlignment="1">
      <alignment horizontal="right"/>
    </xf>
    <xf numFmtId="164" fontId="0" fillId="2" borderId="29" xfId="6" applyNumberFormat="1" applyFont="1" applyFill="1" applyBorder="1" applyAlignment="1">
      <alignment horizontal="right" vertical="center"/>
    </xf>
    <xf numFmtId="0" fontId="0" fillId="3" borderId="11" xfId="0" applyNumberFormat="1" applyFill="1" applyBorder="1" applyAlignment="1">
      <alignment horizontal="right" vertical="center" wrapText="1"/>
    </xf>
    <xf numFmtId="165" fontId="2" fillId="2" borderId="30" xfId="5" applyNumberFormat="1" applyFont="1" applyFill="1" applyBorder="1" applyAlignment="1"/>
    <xf numFmtId="165" fontId="2" fillId="2" borderId="30" xfId="5" applyNumberFormat="1" applyFont="1" applyFill="1" applyBorder="1" applyAlignment="1">
      <alignment horizontal="right"/>
    </xf>
    <xf numFmtId="165" fontId="2" fillId="2" borderId="31" xfId="5" applyNumberFormat="1" applyFont="1" applyFill="1" applyBorder="1" applyAlignment="1"/>
    <xf numFmtId="165" fontId="2" fillId="2" borderId="32" xfId="5" applyNumberFormat="1" applyFont="1" applyFill="1" applyBorder="1" applyAlignment="1">
      <alignment horizontal="right" vertical="center"/>
    </xf>
    <xf numFmtId="164" fontId="0" fillId="2" borderId="16" xfId="0" applyNumberFormat="1" applyFill="1" applyBorder="1" applyAlignment="1">
      <alignment horizontal="right" vertical="center"/>
    </xf>
    <xf numFmtId="164" fontId="0" fillId="2" borderId="17" xfId="0" applyNumberFormat="1" applyFill="1" applyBorder="1" applyAlignment="1">
      <alignment horizontal="right" vertical="center"/>
    </xf>
    <xf numFmtId="164" fontId="1" fillId="2" borderId="29" xfId="6" applyNumberFormat="1" applyFont="1" applyFill="1" applyBorder="1" applyAlignment="1">
      <alignment horizontal="right" vertical="center"/>
    </xf>
    <xf numFmtId="165" fontId="2" fillId="2" borderId="30" xfId="5" applyNumberFormat="1" applyFont="1" applyFill="1" applyBorder="1" applyAlignment="1">
      <alignment horizontal="right" vertical="center"/>
    </xf>
    <xf numFmtId="165" fontId="2" fillId="2" borderId="31" xfId="5" applyNumberFormat="1" applyFont="1" applyFill="1" applyBorder="1" applyAlignment="1">
      <alignment horizontal="right" vertical="center"/>
    </xf>
    <xf numFmtId="164" fontId="0" fillId="5" borderId="16" xfId="0" applyNumberFormat="1" applyFill="1" applyBorder="1" applyAlignment="1">
      <alignment horizontal="right" vertical="center"/>
    </xf>
    <xf numFmtId="164" fontId="0" fillId="2" borderId="26" xfId="0" applyNumberFormat="1" applyFont="1" applyFill="1" applyBorder="1" applyAlignment="1">
      <alignment horizontal="right" vertical="center"/>
    </xf>
    <xf numFmtId="165" fontId="2" fillId="5" borderId="30" xfId="5" applyNumberFormat="1" applyFont="1" applyFill="1" applyBorder="1" applyAlignment="1">
      <alignment horizontal="right" vertical="center"/>
    </xf>
    <xf numFmtId="0" fontId="3" fillId="9" borderId="0" xfId="0" applyFont="1" applyFill="1" applyBorder="1" applyAlignment="1">
      <alignment horizontal="left" vertical="top" wrapText="1"/>
    </xf>
    <xf numFmtId="0" fontId="13" fillId="7" borderId="0" xfId="0" applyFont="1" applyFill="1" applyBorder="1" applyAlignment="1">
      <alignment horizontal="left" vertical="top" wrapText="1"/>
    </xf>
    <xf numFmtId="0" fontId="3" fillId="7" borderId="0" xfId="0" applyFont="1" applyFill="1" applyBorder="1" applyAlignment="1">
      <alignment horizontal="left" vertical="top" wrapText="1"/>
    </xf>
    <xf numFmtId="0" fontId="13" fillId="6" borderId="0" xfId="0" applyFont="1" applyFill="1" applyBorder="1" applyAlignment="1">
      <alignment horizontal="left" vertical="top" wrapText="1"/>
    </xf>
    <xf numFmtId="0" fontId="3" fillId="7" borderId="0" xfId="0" applyFont="1" applyFill="1" applyBorder="1" applyAlignment="1" applyProtection="1">
      <alignment horizontal="left" vertical="top" wrapText="1"/>
      <protection locked="0"/>
    </xf>
    <xf numFmtId="0" fontId="3" fillId="8" borderId="0" xfId="0" applyFont="1" applyFill="1" applyBorder="1" applyAlignment="1">
      <alignment horizontal="left" vertical="center" wrapText="1"/>
    </xf>
    <xf numFmtId="0" fontId="3" fillId="9" borderId="0" xfId="0" applyFont="1" applyFill="1" applyBorder="1" applyAlignment="1">
      <alignment wrapText="1"/>
    </xf>
    <xf numFmtId="0" fontId="5" fillId="2" borderId="0" xfId="1" applyFont="1" applyFill="1" applyBorder="1" applyAlignment="1">
      <alignment horizontal="left" vertical="top" wrapText="1"/>
    </xf>
    <xf numFmtId="0" fontId="0" fillId="2" borderId="0" xfId="0" applyFill="1" applyBorder="1"/>
    <xf numFmtId="0" fontId="0" fillId="2" borderId="0" xfId="0" applyNumberFormat="1" applyFill="1" applyBorder="1" applyAlignment="1">
      <alignment horizontal="right" vertical="center" wrapText="1"/>
    </xf>
    <xf numFmtId="165" fontId="0" fillId="2" borderId="0" xfId="5" applyNumberFormat="1" applyFont="1" applyFill="1" applyBorder="1" applyAlignment="1">
      <alignment horizontal="right" vertical="center"/>
    </xf>
    <xf numFmtId="164" fontId="0" fillId="2" borderId="0" xfId="6" applyNumberFormat="1" applyFont="1" applyFill="1" applyBorder="1" applyAlignment="1">
      <alignment horizontal="right" vertical="center"/>
    </xf>
    <xf numFmtId="164" fontId="0" fillId="2" borderId="0" xfId="0" applyNumberFormat="1" applyFill="1" applyBorder="1" applyAlignment="1">
      <alignment horizontal="right" vertical="center"/>
    </xf>
    <xf numFmtId="165" fontId="2" fillId="2" borderId="0" xfId="5" applyNumberFormat="1" applyFont="1" applyFill="1" applyBorder="1" applyAlignment="1"/>
    <xf numFmtId="165" fontId="0" fillId="2" borderId="0" xfId="5" applyNumberFormat="1" applyFont="1" applyFill="1" applyBorder="1" applyAlignment="1"/>
    <xf numFmtId="164" fontId="0" fillId="2" borderId="0" xfId="6" applyNumberFormat="1" applyFont="1" applyFill="1" applyBorder="1" applyAlignment="1"/>
    <xf numFmtId="164" fontId="0" fillId="2" borderId="0" xfId="0" applyNumberFormat="1" applyFill="1" applyBorder="1" applyAlignment="1"/>
    <xf numFmtId="0" fontId="3" fillId="7" borderId="34" xfId="0" applyFont="1" applyFill="1" applyBorder="1" applyAlignment="1">
      <alignment horizontal="left" vertical="top" wrapText="1"/>
    </xf>
    <xf numFmtId="0" fontId="0" fillId="5" borderId="1" xfId="0" applyFill="1" applyBorder="1"/>
    <xf numFmtId="0" fontId="13" fillId="10" borderId="0" xfId="0" applyFont="1" applyFill="1" applyBorder="1" applyAlignment="1">
      <alignment horizontal="left" vertical="top" wrapText="1"/>
    </xf>
    <xf numFmtId="0" fontId="13" fillId="10" borderId="0" xfId="0" applyFont="1" applyFill="1" applyBorder="1" applyAlignment="1" applyProtection="1">
      <alignment horizontal="left" vertical="top" wrapText="1"/>
      <protection locked="0"/>
    </xf>
    <xf numFmtId="0" fontId="3" fillId="10" borderId="0" xfId="0" applyFont="1" applyFill="1" applyBorder="1" applyAlignment="1">
      <alignment horizontal="left" vertical="top" wrapText="1"/>
    </xf>
    <xf numFmtId="0" fontId="3" fillId="10" borderId="0" xfId="0" applyFont="1" applyFill="1" applyBorder="1" applyAlignment="1">
      <alignment horizontal="right" vertical="top" wrapText="1"/>
    </xf>
    <xf numFmtId="0" fontId="16" fillId="10" borderId="33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11" borderId="0" xfId="0" applyFont="1" applyFill="1" applyBorder="1" applyAlignment="1">
      <alignment horizontal="left" vertical="top" wrapText="1"/>
    </xf>
    <xf numFmtId="0" fontId="17" fillId="11" borderId="0" xfId="0" applyFont="1" applyFill="1" applyBorder="1" applyAlignment="1">
      <alignment horizontal="left" vertical="top" wrapText="1"/>
    </xf>
    <xf numFmtId="0" fontId="9" fillId="8" borderId="0" xfId="0" applyFont="1" applyFill="1" applyAlignment="1">
      <alignment horizontal="left" vertical="center"/>
    </xf>
    <xf numFmtId="0" fontId="18" fillId="8" borderId="0" xfId="0" applyFont="1" applyFill="1" applyAlignment="1">
      <alignment horizontal="left" vertical="top"/>
    </xf>
    <xf numFmtId="165" fontId="18" fillId="8" borderId="0" xfId="5" applyNumberFormat="1" applyFont="1" applyFill="1" applyBorder="1" applyAlignment="1" applyProtection="1">
      <alignment horizontal="left" vertical="top"/>
    </xf>
    <xf numFmtId="0" fontId="1" fillId="2" borderId="0" xfId="0" applyFont="1" applyFill="1"/>
    <xf numFmtId="0" fontId="5" fillId="2" borderId="0" xfId="1" applyFont="1" applyFill="1" applyBorder="1" applyAlignment="1">
      <alignment horizontal="left" vertical="top" wrapText="1"/>
    </xf>
    <xf numFmtId="165" fontId="2" fillId="2" borderId="35" xfId="5" applyNumberFormat="1" applyFont="1" applyFill="1" applyBorder="1" applyAlignment="1">
      <alignment horizontal="right" vertical="center"/>
    </xf>
    <xf numFmtId="165" fontId="0" fillId="2" borderId="21" xfId="5" applyNumberFormat="1" applyFont="1" applyFill="1" applyBorder="1" applyAlignment="1">
      <alignment horizontal="right" vertical="center"/>
    </xf>
    <xf numFmtId="0" fontId="19" fillId="4" borderId="1" xfId="0" applyFont="1" applyFill="1" applyBorder="1" applyAlignment="1">
      <alignment horizontal="left" vertical="center"/>
    </xf>
    <xf numFmtId="0" fontId="9" fillId="4" borderId="38" xfId="0" applyFont="1" applyFill="1" applyBorder="1" applyAlignment="1">
      <alignment horizontal="left" vertical="center"/>
    </xf>
    <xf numFmtId="17" fontId="0" fillId="2" borderId="0" xfId="0" applyNumberFormat="1" applyFill="1" applyBorder="1" applyAlignment="1">
      <alignment horizontal="right" vertical="center" wrapText="1"/>
    </xf>
    <xf numFmtId="17" fontId="2" fillId="3" borderId="36" xfId="0" applyNumberFormat="1" applyFont="1" applyFill="1" applyBorder="1" applyAlignment="1">
      <alignment horizontal="left" vertical="center" wrapText="1"/>
    </xf>
    <xf numFmtId="165" fontId="1" fillId="2" borderId="37" xfId="5" applyNumberFormat="1" applyFont="1" applyFill="1" applyBorder="1" applyAlignment="1">
      <alignment horizontal="left" vertical="center"/>
    </xf>
    <xf numFmtId="17" fontId="2" fillId="3" borderId="11" xfId="0" applyNumberFormat="1" applyFont="1" applyFill="1" applyBorder="1" applyAlignment="1">
      <alignment horizontal="left" vertical="center" wrapText="1"/>
    </xf>
    <xf numFmtId="165" fontId="1" fillId="2" borderId="39" xfId="5" applyNumberFormat="1" applyFont="1" applyFill="1" applyBorder="1" applyAlignment="1">
      <alignment horizontal="left" vertical="center"/>
    </xf>
    <xf numFmtId="165" fontId="1" fillId="2" borderId="0" xfId="5" applyNumberFormat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top" wrapText="1"/>
    </xf>
    <xf numFmtId="165" fontId="2" fillId="12" borderId="6" xfId="5" quotePrefix="1" applyNumberFormat="1" applyFont="1" applyFill="1" applyBorder="1" applyAlignment="1">
      <alignment horizontal="right"/>
    </xf>
    <xf numFmtId="165" fontId="0" fillId="12" borderId="4" xfId="5" applyNumberFormat="1" applyFont="1" applyFill="1" applyBorder="1" applyAlignment="1"/>
    <xf numFmtId="164" fontId="0" fillId="12" borderId="16" xfId="6" applyNumberFormat="1" applyFont="1" applyFill="1" applyBorder="1" applyAlignment="1"/>
    <xf numFmtId="164" fontId="0" fillId="12" borderId="19" xfId="0" applyNumberFormat="1" applyFill="1" applyBorder="1" applyAlignment="1"/>
    <xf numFmtId="0" fontId="0" fillId="12" borderId="0" xfId="0" applyFill="1"/>
    <xf numFmtId="165" fontId="0" fillId="12" borderId="0" xfId="0" applyNumberFormat="1" applyFill="1"/>
    <xf numFmtId="166" fontId="0" fillId="12" borderId="0" xfId="0" applyNumberFormat="1" applyFill="1"/>
    <xf numFmtId="0" fontId="0" fillId="12" borderId="0" xfId="0" applyNumberFormat="1" applyFill="1" applyBorder="1"/>
    <xf numFmtId="0" fontId="0" fillId="12" borderId="0" xfId="0" applyNumberFormat="1" applyFill="1"/>
    <xf numFmtId="0" fontId="9" fillId="13" borderId="1" xfId="0" applyFont="1" applyFill="1" applyBorder="1" applyAlignment="1">
      <alignment horizontal="left" vertical="center"/>
    </xf>
    <xf numFmtId="0" fontId="0" fillId="12" borderId="2" xfId="0" applyFill="1" applyBorder="1"/>
  </cellXfs>
  <cellStyles count="13">
    <cellStyle name="Komma" xfId="5" builtinId="3"/>
    <cellStyle name="Komma 2" xfId="12" xr:uid="{00000000-0005-0000-0000-000001000000}"/>
    <cellStyle name="Link" xfId="10" builtinId="8"/>
    <cellStyle name="Prozent" xfId="6" builtinId="5"/>
    <cellStyle name="Prozent 2" xfId="7" xr:uid="{00000000-0005-0000-0000-000004000000}"/>
    <cellStyle name="Standard" xfId="0" builtinId="0"/>
    <cellStyle name="Standard 2" xfId="2" xr:uid="{00000000-0005-0000-0000-000006000000}"/>
    <cellStyle name="Standard 2 2" xfId="4" xr:uid="{00000000-0005-0000-0000-000007000000}"/>
    <cellStyle name="Standard 2 3" xfId="8" xr:uid="{00000000-0005-0000-0000-000008000000}"/>
    <cellStyle name="Standard 3" xfId="1" xr:uid="{00000000-0005-0000-0000-000009000000}"/>
    <cellStyle name="Standard 3 2" xfId="9" xr:uid="{00000000-0005-0000-0000-00000A000000}"/>
    <cellStyle name="Standard 4" xfId="3" xr:uid="{00000000-0005-0000-0000-00000B000000}"/>
    <cellStyle name="Standard 5" xfId="11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0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1" name="Option Button 1" hidden="1">
                <a:extLst>
                  <a:ext uri="{63B3BB69-23CF-44E3-9099-C40C66FF867C}">
                    <a14:compatExt spid="_x0000_s15361"/>
                  </a:ext>
                  <a:ext uri="{FF2B5EF4-FFF2-40B4-BE49-F238E27FC236}">
                    <a16:creationId xmlns:a16="http://schemas.microsoft.com/office/drawing/2014/main" id="{00000000-0008-0000-0000-0000013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2" name="Option Button 2" hidden="1">
                <a:extLst>
                  <a:ext uri="{63B3BB69-23CF-44E3-9099-C40C66FF867C}">
                    <a14:compatExt spid="_x0000_s15362"/>
                  </a:ext>
                  <a:ext uri="{FF2B5EF4-FFF2-40B4-BE49-F238E27FC236}">
                    <a16:creationId xmlns:a16="http://schemas.microsoft.com/office/drawing/2014/main" id="{00000000-0008-0000-0000-0000023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3" name="Option Button 3" hidden="1">
                <a:extLst>
                  <a:ext uri="{63B3BB69-23CF-44E3-9099-C40C66FF867C}">
                    <a14:compatExt spid="_x0000_s15363"/>
                  </a:ext>
                  <a:ext uri="{FF2B5EF4-FFF2-40B4-BE49-F238E27FC236}">
                    <a16:creationId xmlns:a16="http://schemas.microsoft.com/office/drawing/2014/main" id="{00000000-0008-0000-0000-0000033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5" name="Option Button 1" hidden="1">
                <a:extLst>
                  <a:ext uri="{63B3BB69-23CF-44E3-9099-C40C66FF867C}">
                    <a14:compatExt spid="_x0000_s6145"/>
                  </a:ext>
                  <a:ext uri="{FF2B5EF4-FFF2-40B4-BE49-F238E27FC236}">
                    <a16:creationId xmlns:a16="http://schemas.microsoft.com/office/drawing/2014/main" id="{00000000-0008-0000-0900-0000011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6" name="Option Button 2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900-0000021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7" name="Option Button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900-0000031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7" name="Option Button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A00-0000011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8" name="Option Button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A00-0000021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9" name="Option Button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A00-0000031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34925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466725</xdr:colOff>
      <xdr:row>0</xdr:row>
      <xdr:rowOff>19050</xdr:rowOff>
    </xdr:from>
    <xdr:to>
      <xdr:col>8</xdr:col>
      <xdr:colOff>410189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00675" y="19050"/>
          <a:ext cx="244853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3" name="Option Button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B00-0000010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4" name="Option Button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B00-0000020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5" name="Option Button 3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B00-0000030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2663825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2</xdr:col>
      <xdr:colOff>2686050</xdr:colOff>
      <xdr:row>0</xdr:row>
      <xdr:rowOff>19050</xdr:rowOff>
    </xdr:from>
    <xdr:to>
      <xdr:col>5</xdr:col>
      <xdr:colOff>600689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44853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8673" name="Option Button 1" hidden="1">
                <a:extLst>
                  <a:ext uri="{63B3BB69-23CF-44E3-9099-C40C66FF867C}">
                    <a14:compatExt spid="_x0000_s28673"/>
                  </a:ext>
                  <a:ext uri="{FF2B5EF4-FFF2-40B4-BE49-F238E27FC236}">
                    <a16:creationId xmlns:a16="http://schemas.microsoft.com/office/drawing/2014/main" id="{00000000-0008-0000-0C00-0000017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8674" name="Option Button 2" hidden="1">
                <a:extLst>
                  <a:ext uri="{63B3BB69-23CF-44E3-9099-C40C66FF867C}">
                    <a14:compatExt spid="_x0000_s28674"/>
                  </a:ext>
                  <a:ext uri="{FF2B5EF4-FFF2-40B4-BE49-F238E27FC236}">
                    <a16:creationId xmlns:a16="http://schemas.microsoft.com/office/drawing/2014/main" id="{00000000-0008-0000-0C00-0000027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8675" name="Option Button 3" hidden="1">
                <a:extLst>
                  <a:ext uri="{63B3BB69-23CF-44E3-9099-C40C66FF867C}">
                    <a14:compatExt spid="_x0000_s28675"/>
                  </a:ext>
                  <a:ext uri="{FF2B5EF4-FFF2-40B4-BE49-F238E27FC236}">
                    <a16:creationId xmlns:a16="http://schemas.microsoft.com/office/drawing/2014/main" id="{00000000-0008-0000-0C00-0000037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7" name="Option Button 1" hidden="1">
                <a:extLst>
                  <a:ext uri="{63B3BB69-23CF-44E3-9099-C40C66FF867C}">
                    <a14:compatExt spid="_x0000_s14337"/>
                  </a:ext>
                  <a:ext uri="{FF2B5EF4-FFF2-40B4-BE49-F238E27FC236}">
                    <a16:creationId xmlns:a16="http://schemas.microsoft.com/office/drawing/2014/main" id="{00000000-0008-0000-0100-0000013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8" name="Option Button 2" hidden="1">
                <a:extLst>
                  <a:ext uri="{63B3BB69-23CF-44E3-9099-C40C66FF867C}">
                    <a14:compatExt spid="_x0000_s14338"/>
                  </a:ext>
                  <a:ext uri="{FF2B5EF4-FFF2-40B4-BE49-F238E27FC236}">
                    <a16:creationId xmlns:a16="http://schemas.microsoft.com/office/drawing/2014/main" id="{00000000-0008-0000-0100-0000023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9" name="Option Button 3" hidden="1">
                <a:extLst>
                  <a:ext uri="{63B3BB69-23CF-44E3-9099-C40C66FF867C}">
                    <a14:compatExt spid="_x0000_s14339"/>
                  </a:ext>
                  <a:ext uri="{FF2B5EF4-FFF2-40B4-BE49-F238E27FC236}">
                    <a16:creationId xmlns:a16="http://schemas.microsoft.com/office/drawing/2014/main" id="{00000000-0008-0000-0100-0000033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3" name="Option Button 1" hidden="1">
                <a:extLst>
                  <a:ext uri="{63B3BB69-23CF-44E3-9099-C40C66FF867C}">
                    <a14:compatExt spid="_x0000_s13313"/>
                  </a:ext>
                  <a:ext uri="{FF2B5EF4-FFF2-40B4-BE49-F238E27FC236}">
                    <a16:creationId xmlns:a16="http://schemas.microsoft.com/office/drawing/2014/main" id="{00000000-0008-0000-0200-0000013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4" name="Option Button 2" hidden="1">
                <a:extLst>
                  <a:ext uri="{63B3BB69-23CF-44E3-9099-C40C66FF867C}">
                    <a14:compatExt spid="_x0000_s13314"/>
                  </a:ext>
                  <a:ext uri="{FF2B5EF4-FFF2-40B4-BE49-F238E27FC236}">
                    <a16:creationId xmlns:a16="http://schemas.microsoft.com/office/drawing/2014/main" id="{00000000-0008-0000-0200-0000023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5" name="Option Button 3" hidden="1">
                <a:extLst>
                  <a:ext uri="{63B3BB69-23CF-44E3-9099-C40C66FF867C}">
                    <a14:compatExt spid="_x0000_s13315"/>
                  </a:ext>
                  <a:ext uri="{FF2B5EF4-FFF2-40B4-BE49-F238E27FC236}">
                    <a16:creationId xmlns:a16="http://schemas.microsoft.com/office/drawing/2014/main" id="{00000000-0008-0000-0200-0000033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89" name="Option Button 1" hidden="1">
                <a:extLst>
                  <a:ext uri="{63B3BB69-23CF-44E3-9099-C40C66FF867C}">
                    <a14:compatExt spid="_x0000_s12289"/>
                  </a:ext>
                  <a:ext uri="{FF2B5EF4-FFF2-40B4-BE49-F238E27FC236}">
                    <a16:creationId xmlns:a16="http://schemas.microsoft.com/office/drawing/2014/main" id="{00000000-0008-0000-0300-0000013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90" name="Option Button 2" hidden="1">
                <a:extLst>
                  <a:ext uri="{63B3BB69-23CF-44E3-9099-C40C66FF867C}">
                    <a14:compatExt spid="_x0000_s12290"/>
                  </a:ext>
                  <a:ext uri="{FF2B5EF4-FFF2-40B4-BE49-F238E27FC236}">
                    <a16:creationId xmlns:a16="http://schemas.microsoft.com/office/drawing/2014/main" id="{00000000-0008-0000-0300-0000023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91" name="Option Button 3" hidden="1">
                <a:extLst>
                  <a:ext uri="{63B3BB69-23CF-44E3-9099-C40C66FF867C}">
                    <a14:compatExt spid="_x0000_s12291"/>
                  </a:ext>
                  <a:ext uri="{FF2B5EF4-FFF2-40B4-BE49-F238E27FC236}">
                    <a16:creationId xmlns:a16="http://schemas.microsoft.com/office/drawing/2014/main" id="{00000000-0008-0000-0300-0000033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5" name="Option Button 1" hidden="1">
                <a:extLst>
                  <a:ext uri="{63B3BB69-23CF-44E3-9099-C40C66FF867C}">
                    <a14:compatExt spid="_x0000_s11265"/>
                  </a:ext>
                  <a:ext uri="{FF2B5EF4-FFF2-40B4-BE49-F238E27FC236}">
                    <a16:creationId xmlns:a16="http://schemas.microsoft.com/office/drawing/2014/main" id="{00000000-0008-0000-0400-0000012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6" name="Option Button 2" hidden="1">
                <a:extLst>
                  <a:ext uri="{63B3BB69-23CF-44E3-9099-C40C66FF867C}">
                    <a14:compatExt spid="_x0000_s11266"/>
                  </a:ext>
                  <a:ext uri="{FF2B5EF4-FFF2-40B4-BE49-F238E27FC236}">
                    <a16:creationId xmlns:a16="http://schemas.microsoft.com/office/drawing/2014/main" id="{00000000-0008-0000-0400-0000022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7" name="Option Button 3" hidden="1">
                <a:extLst>
                  <a:ext uri="{63B3BB69-23CF-44E3-9099-C40C66FF867C}">
                    <a14:compatExt spid="_x0000_s11267"/>
                  </a:ext>
                  <a:ext uri="{FF2B5EF4-FFF2-40B4-BE49-F238E27FC236}">
                    <a16:creationId xmlns:a16="http://schemas.microsoft.com/office/drawing/2014/main" id="{00000000-0008-0000-0400-0000032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1" name="Option Button 1" hidden="1">
                <a:extLst>
                  <a:ext uri="{63B3BB69-23CF-44E3-9099-C40C66FF867C}">
                    <a14:compatExt spid="_x0000_s10241"/>
                  </a:ext>
                  <a:ext uri="{FF2B5EF4-FFF2-40B4-BE49-F238E27FC236}">
                    <a16:creationId xmlns:a16="http://schemas.microsoft.com/office/drawing/2014/main" id="{00000000-0008-0000-0500-0000012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2" name="Option Button 2" hidden="1">
                <a:extLst>
                  <a:ext uri="{63B3BB69-23CF-44E3-9099-C40C66FF867C}">
                    <a14:compatExt spid="_x0000_s10242"/>
                  </a:ext>
                  <a:ext uri="{FF2B5EF4-FFF2-40B4-BE49-F238E27FC236}">
                    <a16:creationId xmlns:a16="http://schemas.microsoft.com/office/drawing/2014/main" id="{00000000-0008-0000-0500-0000022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3" name="Option Button 3" hidden="1">
                <a:extLst>
                  <a:ext uri="{63B3BB69-23CF-44E3-9099-C40C66FF867C}">
                    <a14:compatExt spid="_x0000_s10243"/>
                  </a:ext>
                  <a:ext uri="{FF2B5EF4-FFF2-40B4-BE49-F238E27FC236}">
                    <a16:creationId xmlns:a16="http://schemas.microsoft.com/office/drawing/2014/main" id="{00000000-0008-0000-0500-0000032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7" name="Option Button 1" hidden="1">
                <a:extLst>
                  <a:ext uri="{63B3BB69-23CF-44E3-9099-C40C66FF867C}">
                    <a14:compatExt spid="_x0000_s9217"/>
                  </a:ext>
                  <a:ext uri="{FF2B5EF4-FFF2-40B4-BE49-F238E27FC236}">
                    <a16:creationId xmlns:a16="http://schemas.microsoft.com/office/drawing/2014/main" id="{00000000-0008-0000-0600-0000012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8" name="Option Button 2" hidden="1">
                <a:extLst>
                  <a:ext uri="{63B3BB69-23CF-44E3-9099-C40C66FF867C}">
                    <a14:compatExt spid="_x0000_s9218"/>
                  </a:ext>
                  <a:ext uri="{FF2B5EF4-FFF2-40B4-BE49-F238E27FC236}">
                    <a16:creationId xmlns:a16="http://schemas.microsoft.com/office/drawing/2014/main" id="{00000000-0008-0000-0600-0000022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9" name="Option Button 3" hidden="1">
                <a:extLst>
                  <a:ext uri="{63B3BB69-23CF-44E3-9099-C40C66FF867C}">
                    <a14:compatExt spid="_x0000_s9219"/>
                  </a:ext>
                  <a:ext uri="{FF2B5EF4-FFF2-40B4-BE49-F238E27FC236}">
                    <a16:creationId xmlns:a16="http://schemas.microsoft.com/office/drawing/2014/main" id="{00000000-0008-0000-0600-0000032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3" name="Option Button 1" hidden="1">
                <a:extLst>
                  <a:ext uri="{63B3BB69-23CF-44E3-9099-C40C66FF867C}">
                    <a14:compatExt spid="_x0000_s8193"/>
                  </a:ext>
                  <a:ext uri="{FF2B5EF4-FFF2-40B4-BE49-F238E27FC236}">
                    <a16:creationId xmlns:a16="http://schemas.microsoft.com/office/drawing/2014/main" id="{00000000-0008-0000-0700-0000012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4" name="Option Button 2" hidden="1">
                <a:extLst>
                  <a:ext uri="{63B3BB69-23CF-44E3-9099-C40C66FF867C}">
                    <a14:compatExt spid="_x0000_s8194"/>
                  </a:ext>
                  <a:ext uri="{FF2B5EF4-FFF2-40B4-BE49-F238E27FC236}">
                    <a16:creationId xmlns:a16="http://schemas.microsoft.com/office/drawing/2014/main" id="{00000000-0008-0000-0700-0000022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5" name="Option Button 3" hidden="1">
                <a:extLst>
                  <a:ext uri="{63B3BB69-23CF-44E3-9099-C40C66FF867C}">
                    <a14:compatExt spid="_x0000_s8195"/>
                  </a:ext>
                  <a:ext uri="{FF2B5EF4-FFF2-40B4-BE49-F238E27FC236}">
                    <a16:creationId xmlns:a16="http://schemas.microsoft.com/office/drawing/2014/main" id="{00000000-0008-0000-0700-0000032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69" name="Option Button 1" hidden="1">
                <a:extLst>
                  <a:ext uri="{63B3BB69-23CF-44E3-9099-C40C66FF867C}">
                    <a14:compatExt spid="_x0000_s7169"/>
                  </a:ext>
                  <a:ext uri="{FF2B5EF4-FFF2-40B4-BE49-F238E27FC236}">
                    <a16:creationId xmlns:a16="http://schemas.microsoft.com/office/drawing/2014/main" id="{00000000-0008-0000-0800-0000011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0" name="Option Button 2" hidden="1">
                <a:extLst>
                  <a:ext uri="{63B3BB69-23CF-44E3-9099-C40C66FF867C}">
                    <a14:compatExt spid="_x0000_s7170"/>
                  </a:ext>
                  <a:ext uri="{FF2B5EF4-FFF2-40B4-BE49-F238E27FC236}">
                    <a16:creationId xmlns:a16="http://schemas.microsoft.com/office/drawing/2014/main" id="{00000000-0008-0000-0800-0000021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1" name="Option Button 3" hidden="1">
                <a:extLst>
                  <a:ext uri="{63B3BB69-23CF-44E3-9099-C40C66FF867C}">
                    <a14:compatExt spid="_x0000_s7171"/>
                  </a:ext>
                  <a:ext uri="{FF2B5EF4-FFF2-40B4-BE49-F238E27FC236}">
                    <a16:creationId xmlns:a16="http://schemas.microsoft.com/office/drawing/2014/main" id="{00000000-0008-0000-0800-0000031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7" Type="http://schemas.openxmlformats.org/officeDocument/2006/relationships/ctrlProp" Target="../ctrlProps/ctrlProp3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29.xml"/><Relationship Id="rId5" Type="http://schemas.openxmlformats.org/officeDocument/2006/relationships/ctrlProp" Target="../ctrlProps/ctrlProp28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7" Type="http://schemas.openxmlformats.org/officeDocument/2006/relationships/ctrlProp" Target="../ctrlProps/ctrlProp3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32.xml"/><Relationship Id="rId5" Type="http://schemas.openxmlformats.org/officeDocument/2006/relationships/ctrlProp" Target="../ctrlProps/ctrlProp31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7" Type="http://schemas.openxmlformats.org/officeDocument/2006/relationships/ctrlProp" Target="../ctrlProps/ctrlProp36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35.xml"/><Relationship Id="rId5" Type="http://schemas.openxmlformats.org/officeDocument/2006/relationships/ctrlProp" Target="../ctrlProps/ctrlProp34.xml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39.xml"/><Relationship Id="rId5" Type="http://schemas.openxmlformats.org/officeDocument/2006/relationships/ctrlProp" Target="../ctrlProps/ctrlProp38.xml"/><Relationship Id="rId4" Type="http://schemas.openxmlformats.org/officeDocument/2006/relationships/ctrlProp" Target="../ctrlProps/ctrlProp3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1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1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7" Type="http://schemas.openxmlformats.org/officeDocument/2006/relationships/ctrlProp" Target="../ctrlProps/ctrlProp18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7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7" Type="http://schemas.openxmlformats.org/officeDocument/2006/relationships/ctrlProp" Target="../ctrlProps/ctrlProp24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7" Type="http://schemas.openxmlformats.org/officeDocument/2006/relationships/ctrlProp" Target="../ctrlProps/ctrlProp2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26.xml"/><Relationship Id="rId5" Type="http://schemas.openxmlformats.org/officeDocument/2006/relationships/ctrlProp" Target="../ctrlProps/ctrlProp25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3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1" t="str">
        <f>VLOOKUP("&lt;Fachbereich&gt;",Uebersetzungen!$B$4:$E$315,Uebersetzungen!$B$2+1,FALSE)</f>
        <v>Daten &amp; Statistik</v>
      </c>
      <c r="B7" s="131"/>
      <c r="C7" s="131"/>
      <c r="D7" s="131"/>
      <c r="E7" s="95"/>
      <c r="F7" s="1"/>
    </row>
    <row r="8" spans="1:10" ht="10.5" customHeight="1" x14ac:dyDescent="0.2"/>
    <row r="9" spans="1:10" ht="18" x14ac:dyDescent="0.25">
      <c r="A9" s="2" t="str">
        <f>VLOOKUP("&lt;T12Titel1&gt;",Uebersetzungen!$B$4:$E$315,Uebersetzungen!$B$2+1,FALSE)</f>
        <v>Hotel- und Kurbetriebe: Logiernächte im Dezember 2026,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VLOOKUP("&lt;T12SpaltenTitel_1&gt;",Uebersetzungen!$B$4:$E$315,Uebersetzungen!$B$2+1,FALSE)</f>
        <v>Dezember 2026</v>
      </c>
      <c r="D12" s="21" t="str">
        <f>VLOOKUP("&lt;T12SpaltenTitel_2&gt;",Uebersetzungen!$B$4:$E$315,Uebersetzungen!$B$2+1,FALSE)</f>
        <v>Dezember 2025</v>
      </c>
      <c r="E12" s="22" t="str">
        <f>VLOOKUP("&lt;SpaltenTitel_3&gt;",Uebersetzungen!$B$4:$E$315,Uebersetzungen!$B$2+1,FALSE)</f>
        <v>Veränderung 26/25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VLOOKUP("&lt;T12SpaltenTitel_5&gt;",Uebersetzungen!$B$4:$E$315,Uebersetzungen!$B$2+1,FALSE)</f>
        <v>Januar-Dezember 26</v>
      </c>
      <c r="H12" s="22" t="str">
        <f>VLOOKUP("&lt;T12SpaltenTitel_6&gt;",Uebersetzungen!$B$4:$E$315,Uebersetzungen!$B$2+1,FALSE)</f>
        <v>Januar-Dezember 25</v>
      </c>
      <c r="I12" s="22" t="str">
        <f>VLOOKUP("&lt;SpaltenTitel_7&gt;",Uebersetzungen!$B$4:$E$315,Uebersetzungen!$B$2+1,FALSE)</f>
        <v>Veränderung 26/25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/>
      <c r="D27" s="52"/>
      <c r="E27" s="53" t="e">
        <f t="shared" si="0"/>
        <v>#DIV/0!</v>
      </c>
      <c r="F27" s="72"/>
      <c r="G27" s="77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/>
      <c r="D29" s="55"/>
      <c r="E29" s="53" t="e">
        <f t="shared" si="0"/>
        <v>#DIV/0!</v>
      </c>
      <c r="F29" s="72"/>
      <c r="G29" s="77"/>
      <c r="H29" s="55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f>C31-SUM(C13:C29)</f>
        <v>0</v>
      </c>
      <c r="D30" s="57">
        <f>D31-SUM(D13:D29)</f>
        <v>0</v>
      </c>
      <c r="E30" s="53" t="e">
        <f t="shared" si="0"/>
        <v>#DIV/0!</v>
      </c>
      <c r="F30" s="73" t="s">
        <v>42</v>
      </c>
      <c r="G30" s="78">
        <f>G31-SUM(G13:G29)</f>
        <v>0</v>
      </c>
      <c r="H30" s="57">
        <f>H31-SUM(H13:H29)</f>
        <v>0</v>
      </c>
      <c r="I30" s="53" t="e">
        <f t="shared" si="1"/>
        <v>#DIV/0!</v>
      </c>
      <c r="J30" s="58" t="s">
        <v>42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f>C74</f>
        <v>0</v>
      </c>
      <c r="D31" s="19">
        <f>D74</f>
        <v>0</v>
      </c>
      <c r="E31" s="12" t="e">
        <f t="shared" si="0"/>
        <v>#DIV/0!</v>
      </c>
      <c r="F31" s="74"/>
      <c r="G31" s="79">
        <f t="shared" ref="G31:H31" si="2">G74</f>
        <v>0</v>
      </c>
      <c r="H31" s="19">
        <f t="shared" si="2"/>
        <v>0</v>
      </c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VLOOKUP("&lt;T12Titel2&gt;",Uebersetzungen!$B$4:$E$315,Uebersetzungen!$B$2+1,FALSE)</f>
        <v>Hotel- und Kurbetriebe: Logiernächte im Dezember 2026,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VLOOKUP("&lt;T12SpaltenTitel_1&gt;",Uebersetzungen!$B$4:$E$315,Uebersetzungen!$B$2+1,FALSE)</f>
        <v>Dezember 2026</v>
      </c>
      <c r="D39" s="21" t="str">
        <f>VLOOKUP("&lt;T12SpaltenTitel_2&gt;",Uebersetzungen!$B$4:$E$315,Uebersetzungen!$B$2+1,FALSE)</f>
        <v>Dezember 2025</v>
      </c>
      <c r="E39" s="22" t="str">
        <f>VLOOKUP("&lt;SpaltenTitel_3&gt;",Uebersetzungen!$B$4:$E$315,Uebersetzungen!$B$2+1,FALSE)</f>
        <v>Veränderung 26/25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VLOOKUP("&lt;T12SpaltenTitel_5&gt;",Uebersetzungen!$B$4:$E$315,Uebersetzungen!$B$2+1,FALSE)</f>
        <v>Januar-Dezember 26</v>
      </c>
      <c r="H39" s="22" t="str">
        <f>VLOOKUP("&lt;T12SpaltenTitel_6&gt;",Uebersetzungen!$B$4:$E$315,Uebersetzungen!$B$2+1,FALSE)</f>
        <v>Januar-Dezember 25</v>
      </c>
      <c r="I39" s="22" t="str">
        <f>VLOOKUP("&lt;SpaltenTitel_7&gt;",Uebersetzungen!$B$4:$E$315,Uebersetzungen!$B$2+1,FALSE)</f>
        <v>Veränderung 26/25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3">C41/D41-1</f>
        <v>#DIV/0!</v>
      </c>
      <c r="F41" s="80"/>
      <c r="G41" s="83"/>
      <c r="H41" s="17"/>
      <c r="I41" s="10" t="e">
        <f t="shared" ref="I41:I74" si="4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3"/>
        <v>#DIV/0!</v>
      </c>
      <c r="F42" s="80"/>
      <c r="G42" s="83"/>
      <c r="H42" s="17"/>
      <c r="I42" s="10" t="e">
        <f t="shared" si="4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3"/>
        <v>#DIV/0!</v>
      </c>
      <c r="F43" s="80"/>
      <c r="G43" s="83"/>
      <c r="H43" s="17"/>
      <c r="I43" s="10" t="e">
        <f t="shared" si="4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3"/>
        <v>#DIV/0!</v>
      </c>
      <c r="F44" s="80"/>
      <c r="G44" s="83"/>
      <c r="H44" s="17"/>
      <c r="I44" s="10" t="e">
        <f t="shared" si="4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3"/>
        <v>#DIV/0!</v>
      </c>
      <c r="F45" s="80"/>
      <c r="G45" s="83"/>
      <c r="H45" s="17"/>
      <c r="I45" s="10" t="e">
        <f t="shared" si="4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3"/>
        <v>#DIV/0!</v>
      </c>
      <c r="F46" s="80"/>
      <c r="G46" s="83"/>
      <c r="H46" s="17"/>
      <c r="I46" s="10" t="e">
        <f t="shared" si="4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3"/>
        <v>#DIV/0!</v>
      </c>
      <c r="F47" s="80"/>
      <c r="G47" s="83"/>
      <c r="H47" s="17"/>
      <c r="I47" s="10" t="e">
        <f t="shared" si="4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3"/>
        <v>#DIV/0!</v>
      </c>
      <c r="F48" s="80"/>
      <c r="G48" s="83"/>
      <c r="H48" s="17"/>
      <c r="I48" s="10" t="e">
        <f t="shared" si="4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3"/>
        <v>#DIV/0!</v>
      </c>
      <c r="F49" s="80"/>
      <c r="G49" s="83"/>
      <c r="H49" s="17"/>
      <c r="I49" s="10" t="e">
        <f t="shared" si="4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3"/>
        <v>#DIV/0!</v>
      </c>
      <c r="F50" s="80"/>
      <c r="G50" s="83"/>
      <c r="H50" s="17"/>
      <c r="I50" s="10" t="e">
        <f t="shared" si="4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3"/>
        <v>#DIV/0!</v>
      </c>
      <c r="F51" s="80"/>
      <c r="G51" s="83"/>
      <c r="H51" s="17"/>
      <c r="I51" s="10" t="e">
        <f t="shared" si="4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3"/>
        <v>#DIV/0!</v>
      </c>
      <c r="F52" s="80"/>
      <c r="G52" s="83"/>
      <c r="H52" s="17"/>
      <c r="I52" s="10" t="e">
        <f t="shared" si="4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3"/>
        <v>#DIV/0!</v>
      </c>
      <c r="F53" s="80"/>
      <c r="G53" s="83"/>
      <c r="H53" s="17"/>
      <c r="I53" s="10" t="e">
        <f t="shared" si="4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3"/>
        <v>#DIV/0!</v>
      </c>
      <c r="F54" s="80"/>
      <c r="G54" s="83"/>
      <c r="H54" s="17"/>
      <c r="I54" s="10" t="e">
        <f t="shared" si="4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3"/>
        <v>#DIV/0!</v>
      </c>
      <c r="F55" s="80"/>
      <c r="G55" s="83"/>
      <c r="H55" s="17"/>
      <c r="I55" s="10" t="e">
        <f t="shared" si="4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3"/>
        <v>#DIV/0!</v>
      </c>
      <c r="F56" s="80"/>
      <c r="G56" s="83"/>
      <c r="H56" s="17"/>
      <c r="I56" s="10" t="e">
        <f t="shared" si="4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3"/>
        <v>#DIV/0!</v>
      </c>
      <c r="F57" s="80"/>
      <c r="G57" s="83"/>
      <c r="H57" s="17"/>
      <c r="I57" s="10" t="e">
        <f t="shared" si="4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3"/>
        <v>#DIV/0!</v>
      </c>
      <c r="F58" s="80"/>
      <c r="G58" s="83"/>
      <c r="H58" s="17"/>
      <c r="I58" s="10" t="e">
        <f t="shared" si="4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3"/>
        <v>#DIV/0!</v>
      </c>
      <c r="F59" s="80"/>
      <c r="G59" s="83"/>
      <c r="H59" s="17"/>
      <c r="I59" s="10" t="e">
        <f t="shared" si="4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3"/>
        <v>#DIV/0!</v>
      </c>
      <c r="F60" s="80"/>
      <c r="G60" s="83"/>
      <c r="H60" s="17"/>
      <c r="I60" s="10" t="e">
        <f t="shared" si="4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3"/>
        <v>#DIV/0!</v>
      </c>
      <c r="F61" s="80"/>
      <c r="G61" s="83"/>
      <c r="H61" s="17"/>
      <c r="I61" s="10" t="e">
        <f t="shared" si="4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3"/>
        <v>#DIV/0!</v>
      </c>
      <c r="F62" s="80"/>
      <c r="G62" s="83"/>
      <c r="H62" s="17"/>
      <c r="I62" s="10" t="e">
        <f t="shared" si="4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3"/>
        <v>#DIV/0!</v>
      </c>
      <c r="F63" s="80"/>
      <c r="G63" s="83"/>
      <c r="H63" s="17"/>
      <c r="I63" s="10" t="e">
        <f t="shared" si="4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3"/>
        <v>#DIV/0!</v>
      </c>
      <c r="F66" s="80"/>
      <c r="G66" s="83"/>
      <c r="H66" s="17"/>
      <c r="I66" s="10" t="e">
        <f t="shared" si="4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3"/>
        <v>#DIV/0!</v>
      </c>
      <c r="F67" s="80"/>
      <c r="G67" s="83"/>
      <c r="H67" s="17"/>
      <c r="I67" s="10" t="e">
        <f t="shared" si="4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3"/>
        <v>#DIV/0!</v>
      </c>
      <c r="F68" s="80"/>
      <c r="G68" s="83"/>
      <c r="H68" s="17"/>
      <c r="I68" s="10" t="e">
        <f t="shared" si="4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3"/>
        <v>#DIV/0!</v>
      </c>
      <c r="F69" s="80"/>
      <c r="G69" s="83"/>
      <c r="H69" s="17"/>
      <c r="I69" s="10" t="e">
        <f t="shared" si="4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3"/>
        <v>#DIV/0!</v>
      </c>
      <c r="F70" s="80"/>
      <c r="G70" s="83"/>
      <c r="H70" s="17"/>
      <c r="I70" s="10" t="e">
        <f t="shared" si="4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3"/>
        <v>#DIV/0!</v>
      </c>
      <c r="F71" s="80"/>
      <c r="G71" s="83"/>
      <c r="H71" s="17"/>
      <c r="I71" s="10" t="e">
        <f t="shared" si="4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3"/>
        <v>#DIV/0!</v>
      </c>
      <c r="F72" s="80"/>
      <c r="G72" s="83"/>
      <c r="H72" s="17"/>
      <c r="I72" s="10" t="e">
        <f t="shared" si="4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3"/>
        <v>#DIV/0!</v>
      </c>
      <c r="F73" s="81"/>
      <c r="G73" s="84"/>
      <c r="H73" s="18"/>
      <c r="I73" s="11" t="e">
        <f t="shared" si="4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3"/>
        <v>#DIV/0!</v>
      </c>
      <c r="F74" s="82">
        <f>F31</f>
        <v>0</v>
      </c>
      <c r="G74" s="79"/>
      <c r="H74" s="40"/>
      <c r="I74" s="65" t="e">
        <f t="shared" si="4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VLOOKUP("&lt;T12Titel3&gt;",Uebersetzungen!$B$4:$E$315,Uebersetzungen!$B$2+1,FALSE)</f>
        <v>Hotel- und Kurbetriebe: Logiernächte im Dezember 2026,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VLOOKUP("&lt;T12SpaltenTitel_1&gt;",Uebersetzungen!$B$4:$E$315,Uebersetzungen!$B$2+1,FALSE)</f>
        <v>Dezember 2026</v>
      </c>
      <c r="D82" s="21" t="str">
        <f>VLOOKUP("&lt;T12SpaltenTitel_2&gt;",Uebersetzungen!$B$4:$E$315,Uebersetzungen!$B$2+1,FALSE)</f>
        <v>Dezember 2025</v>
      </c>
      <c r="E82" s="22" t="str">
        <f>VLOOKUP("&lt;SpaltenTitel_3&gt;",Uebersetzungen!$B$4:$E$315,Uebersetzungen!$B$2+1,FALSE)</f>
        <v>Veränderung 26/25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VLOOKUP("&lt;T12SpaltenTitel_5&gt;",Uebersetzungen!$B$4:$E$315,Uebersetzungen!$B$2+1,FALSE)</f>
        <v>Januar-Dezember 26</v>
      </c>
      <c r="H82" s="22" t="str">
        <f>VLOOKUP("&lt;T12SpaltenTitel_6&gt;",Uebersetzungen!$B$4:$E$315,Uebersetzungen!$B$2+1,FALSE)</f>
        <v>Januar-Dezember 25</v>
      </c>
      <c r="I82" s="22" t="str">
        <f>VLOOKUP("&lt;SpaltenTitel_7&gt;",Uebersetzungen!$B$4:$E$315,Uebersetzungen!$B$2+1,FALSE)</f>
        <v>Veränderung 26/25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5">C84/D84-1</f>
        <v>#DIV/0!</v>
      </c>
      <c r="F84" s="80"/>
      <c r="G84" s="83"/>
      <c r="H84" s="17"/>
      <c r="I84" s="10" t="e">
        <f t="shared" ref="I84:I96" si="6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5"/>
        <v>#DIV/0!</v>
      </c>
      <c r="F85" s="80"/>
      <c r="G85" s="83"/>
      <c r="H85" s="17"/>
      <c r="I85" s="10" t="e">
        <f t="shared" si="6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5"/>
        <v>#DIV/0!</v>
      </c>
      <c r="F86" s="80"/>
      <c r="G86" s="83"/>
      <c r="H86" s="17"/>
      <c r="I86" s="10" t="e">
        <f t="shared" si="6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5"/>
        <v>#DIV/0!</v>
      </c>
      <c r="F87" s="80"/>
      <c r="G87" s="83"/>
      <c r="H87" s="17"/>
      <c r="I87" s="10" t="e">
        <f t="shared" si="6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5"/>
        <v>#DIV/0!</v>
      </c>
      <c r="F88" s="85"/>
      <c r="G88" s="87"/>
      <c r="H88" s="62"/>
      <c r="I88" s="63" t="e">
        <f t="shared" si="6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5"/>
        <v>#DIV/0!</v>
      </c>
      <c r="F89" s="80"/>
      <c r="G89" s="83"/>
      <c r="H89" s="17"/>
      <c r="I89" s="10" t="e">
        <f t="shared" si="6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5"/>
        <v>#DIV/0!</v>
      </c>
      <c r="F90" s="80"/>
      <c r="G90" s="83"/>
      <c r="H90" s="17"/>
      <c r="I90" s="10" t="e">
        <f t="shared" si="6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5"/>
        <v>#DIV/0!</v>
      </c>
      <c r="F91" s="80"/>
      <c r="G91" s="83"/>
      <c r="H91" s="17"/>
      <c r="I91" s="10" t="e">
        <f t="shared" si="6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5"/>
        <v>#DIV/0!</v>
      </c>
      <c r="F92" s="80"/>
      <c r="G92" s="83"/>
      <c r="H92" s="17"/>
      <c r="I92" s="10" t="e">
        <f t="shared" si="6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5"/>
        <v>#DIV/0!</v>
      </c>
      <c r="F93" s="80"/>
      <c r="G93" s="83"/>
      <c r="H93" s="17"/>
      <c r="I93" s="10" t="e">
        <f t="shared" si="6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5"/>
        <v>#DIV/0!</v>
      </c>
      <c r="F94" s="80"/>
      <c r="G94" s="83"/>
      <c r="H94" s="17"/>
      <c r="I94" s="33" t="e">
        <f t="shared" si="6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5"/>
        <v>#DIV/0!</v>
      </c>
      <c r="F95" s="11"/>
      <c r="G95" s="84"/>
      <c r="H95" s="18"/>
      <c r="I95" s="43" t="e">
        <f t="shared" si="6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5"/>
        <v>#DIV/0!</v>
      </c>
      <c r="F96" s="86"/>
      <c r="G96" s="79"/>
      <c r="H96" s="40"/>
      <c r="I96" s="41" t="e">
        <f t="shared" si="6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VLOOKUP("&lt;T12Aktualisierung&gt;",Uebersetzungen!$B$4:$E$315,Uebersetzungen!$B$2+1,FALSE)</f>
        <v>Letztmals aktualisiert am: 22.02.2026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VLOOKUP("&lt;T12Legende_3&gt;",Uebersetzungen!$B$4:$E$315,Uebersetzungen!$B$2+1,FALSE)</f>
        <v>Daten des Januar 2026 erscheinen am 10. März 2026.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000-000000000000}"/>
    <hyperlink ref="E76" location="Länder_Pajais_Paesi!A1" display="Länder / Pajais / Paese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4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1" t="str">
        <f>VLOOKUP("&lt;Fachbereich&gt;",Uebersetzungen!$B$4:$E$315,Uebersetzungen!$B$2+1,FALSE)</f>
        <v>Daten &amp; Statistik</v>
      </c>
      <c r="B7" s="131"/>
      <c r="C7" s="131"/>
      <c r="D7" s="131"/>
      <c r="E7" s="95"/>
      <c r="F7" s="1"/>
    </row>
    <row r="8" spans="1:10" ht="10.5" customHeight="1" x14ac:dyDescent="0.2"/>
    <row r="9" spans="1:10" ht="18" x14ac:dyDescent="0.25">
      <c r="A9" s="2" t="str">
        <f>VLOOKUP("&lt;T3Titel1&gt;",Uebersetzungen!$B$4:$E$315,Uebersetzungen!$B$2+1,FALSE)</f>
        <v>Hotel- und Kurbetriebe: Logiernächte im März 2026,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VLOOKUP("&lt;T3SpaltenTitel_1&gt;",Uebersetzungen!$B$4:$E$315,Uebersetzungen!$B$2+1,FALSE)</f>
        <v>März 2026</v>
      </c>
      <c r="D12" s="21" t="str">
        <f>VLOOKUP("&lt;T3SpaltenTitel_2&gt;",Uebersetzungen!$B$4:$E$315,Uebersetzungen!$B$2+1,FALSE)</f>
        <v>März 2025</v>
      </c>
      <c r="E12" s="22" t="str">
        <f>VLOOKUP("&lt;SpaltenTitel_3&gt;",Uebersetzungen!$B$4:$E$315,Uebersetzungen!$B$2+1,FALSE)</f>
        <v>Veränderung 26/25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VLOOKUP("&lt;T3SpaltenTitel_5&gt;",Uebersetzungen!$B$4:$E$315,Uebersetzungen!$B$2+1,FALSE)</f>
        <v>Januar-März 26</v>
      </c>
      <c r="H12" s="22" t="str">
        <f>VLOOKUP("&lt;T3SpaltenTitel_6&gt;",Uebersetzungen!$B$4:$E$315,Uebersetzungen!$B$2+1,FALSE)</f>
        <v>Januar-März 25</v>
      </c>
      <c r="I12" s="22" t="str">
        <f>VLOOKUP("&lt;SpaltenTitel_7&gt;",Uebersetzungen!$B$4:$E$315,Uebersetzungen!$B$2+1,FALSE)</f>
        <v>Veränderung 26/25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/>
      <c r="D27" s="52"/>
      <c r="E27" s="53" t="e">
        <f t="shared" si="0"/>
        <v>#DIV/0!</v>
      </c>
      <c r="F27" s="72"/>
      <c r="G27" s="77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/>
      <c r="D29" s="55"/>
      <c r="E29" s="53" t="e">
        <f t="shared" si="0"/>
        <v>#DIV/0!</v>
      </c>
      <c r="F29" s="72"/>
      <c r="G29" s="77"/>
      <c r="H29" s="55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/>
      <c r="D30" s="57"/>
      <c r="E30" s="53" t="e">
        <f t="shared" si="0"/>
        <v>#DIV/0!</v>
      </c>
      <c r="F30" s="73"/>
      <c r="G30" s="78"/>
      <c r="H30" s="57"/>
      <c r="I30" s="53" t="e">
        <f t="shared" si="1"/>
        <v>#DIV/0!</v>
      </c>
      <c r="J30" s="58"/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/>
      <c r="D31" s="19"/>
      <c r="E31" s="12" t="e">
        <f t="shared" si="0"/>
        <v>#DIV/0!</v>
      </c>
      <c r="F31" s="74"/>
      <c r="G31" s="79"/>
      <c r="H31" s="19"/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VLOOKUP("&lt;T3Titel2&gt;",Uebersetzungen!$B$4:$E$315,Uebersetzungen!$B$2+1,FALSE)</f>
        <v>Hotel- und Kurbetriebe: Logiernächte im März 2026,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VLOOKUP("&lt;T3SpaltenTitel_1&gt;",Uebersetzungen!$B$4:$E$315,Uebersetzungen!$B$2+1,FALSE)</f>
        <v>März 2026</v>
      </c>
      <c r="D39" s="21" t="str">
        <f>VLOOKUP("&lt;T3SpaltenTitel_2&gt;",Uebersetzungen!$B$4:$E$315,Uebersetzungen!$B$2+1,FALSE)</f>
        <v>März 2025</v>
      </c>
      <c r="E39" s="22" t="str">
        <f>VLOOKUP("&lt;SpaltenTitel_3&gt;",Uebersetzungen!$B$4:$E$315,Uebersetzungen!$B$2+1,FALSE)</f>
        <v>Veränderung 26/25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VLOOKUP("&lt;T3SpaltenTitel_5&gt;",Uebersetzungen!$B$4:$E$315,Uebersetzungen!$B$2+1,FALSE)</f>
        <v>Januar-März 26</v>
      </c>
      <c r="H39" s="22" t="str">
        <f>VLOOKUP("&lt;T3SpaltenTitel_6&gt;",Uebersetzungen!$B$4:$E$315,Uebersetzungen!$B$2+1,FALSE)</f>
        <v>Januar-März 25</v>
      </c>
      <c r="I39" s="22" t="str">
        <f>VLOOKUP("&lt;SpaltenTitel_7&gt;",Uebersetzungen!$B$4:$E$315,Uebersetzungen!$B$2+1,FALSE)</f>
        <v>Veränderung 26/25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2">C41/D41-1</f>
        <v>#DIV/0!</v>
      </c>
      <c r="F41" s="80"/>
      <c r="G41" s="83"/>
      <c r="H41" s="17"/>
      <c r="I41" s="10" t="e">
        <f t="shared" ref="I41:I74" si="3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2"/>
        <v>#DIV/0!</v>
      </c>
      <c r="F42" s="80"/>
      <c r="G42" s="83"/>
      <c r="H42" s="17"/>
      <c r="I42" s="10" t="e">
        <f t="shared" si="3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2"/>
        <v>#DIV/0!</v>
      </c>
      <c r="F43" s="80"/>
      <c r="G43" s="83"/>
      <c r="H43" s="17"/>
      <c r="I43" s="10" t="e">
        <f t="shared" si="3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2"/>
        <v>#DIV/0!</v>
      </c>
      <c r="F44" s="80"/>
      <c r="G44" s="83"/>
      <c r="H44" s="17"/>
      <c r="I44" s="10" t="e">
        <f t="shared" si="3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2"/>
        <v>#DIV/0!</v>
      </c>
      <c r="F45" s="80"/>
      <c r="G45" s="83"/>
      <c r="H45" s="17"/>
      <c r="I45" s="10" t="e">
        <f t="shared" si="3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2"/>
        <v>#DIV/0!</v>
      </c>
      <c r="F46" s="80"/>
      <c r="G46" s="83"/>
      <c r="H46" s="17"/>
      <c r="I46" s="10" t="e">
        <f t="shared" si="3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2"/>
        <v>#DIV/0!</v>
      </c>
      <c r="F47" s="80"/>
      <c r="G47" s="83"/>
      <c r="H47" s="17"/>
      <c r="I47" s="10" t="e">
        <f t="shared" si="3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2"/>
        <v>#DIV/0!</v>
      </c>
      <c r="F48" s="80"/>
      <c r="G48" s="83"/>
      <c r="H48" s="17"/>
      <c r="I48" s="10" t="e">
        <f t="shared" si="3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2"/>
        <v>#DIV/0!</v>
      </c>
      <c r="F49" s="80"/>
      <c r="G49" s="83"/>
      <c r="H49" s="17"/>
      <c r="I49" s="10" t="e">
        <f t="shared" si="3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2"/>
        <v>#DIV/0!</v>
      </c>
      <c r="F50" s="80"/>
      <c r="G50" s="83"/>
      <c r="H50" s="17"/>
      <c r="I50" s="10" t="e">
        <f t="shared" si="3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2"/>
        <v>#DIV/0!</v>
      </c>
      <c r="F51" s="80"/>
      <c r="G51" s="83"/>
      <c r="H51" s="17"/>
      <c r="I51" s="10" t="e">
        <f t="shared" si="3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2"/>
        <v>#DIV/0!</v>
      </c>
      <c r="F52" s="80"/>
      <c r="G52" s="83"/>
      <c r="H52" s="17"/>
      <c r="I52" s="10" t="e">
        <f t="shared" si="3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2"/>
        <v>#DIV/0!</v>
      </c>
      <c r="F53" s="80"/>
      <c r="G53" s="83"/>
      <c r="H53" s="17"/>
      <c r="I53" s="10" t="e">
        <f t="shared" si="3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2"/>
        <v>#DIV/0!</v>
      </c>
      <c r="F54" s="80"/>
      <c r="G54" s="83"/>
      <c r="H54" s="17"/>
      <c r="I54" s="10" t="e">
        <f t="shared" si="3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2"/>
        <v>#DIV/0!</v>
      </c>
      <c r="F55" s="80"/>
      <c r="G55" s="83"/>
      <c r="H55" s="17"/>
      <c r="I55" s="10" t="e">
        <f t="shared" si="3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2"/>
        <v>#DIV/0!</v>
      </c>
      <c r="F56" s="80"/>
      <c r="G56" s="83"/>
      <c r="H56" s="17"/>
      <c r="I56" s="10" t="e">
        <f t="shared" si="3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2"/>
        <v>#DIV/0!</v>
      </c>
      <c r="F57" s="80"/>
      <c r="G57" s="83"/>
      <c r="H57" s="17"/>
      <c r="I57" s="10" t="e">
        <f t="shared" si="3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2"/>
        <v>#DIV/0!</v>
      </c>
      <c r="F58" s="80"/>
      <c r="G58" s="83"/>
      <c r="H58" s="17"/>
      <c r="I58" s="10" t="e">
        <f t="shared" si="3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2"/>
        <v>#DIV/0!</v>
      </c>
      <c r="F59" s="80"/>
      <c r="G59" s="83"/>
      <c r="H59" s="17"/>
      <c r="I59" s="10" t="e">
        <f t="shared" si="3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2"/>
        <v>#DIV/0!</v>
      </c>
      <c r="F60" s="80"/>
      <c r="G60" s="83"/>
      <c r="H60" s="17"/>
      <c r="I60" s="10" t="e">
        <f t="shared" si="3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2"/>
        <v>#DIV/0!</v>
      </c>
      <c r="F61" s="80"/>
      <c r="G61" s="83"/>
      <c r="H61" s="17"/>
      <c r="I61" s="10" t="e">
        <f t="shared" si="3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2"/>
        <v>#DIV/0!</v>
      </c>
      <c r="F62" s="80"/>
      <c r="G62" s="83"/>
      <c r="H62" s="17"/>
      <c r="I62" s="10" t="e">
        <f t="shared" si="3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2"/>
        <v>#DIV/0!</v>
      </c>
      <c r="F63" s="80"/>
      <c r="G63" s="83"/>
      <c r="H63" s="17"/>
      <c r="I63" s="10" t="e">
        <f t="shared" si="3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2"/>
        <v>#DIV/0!</v>
      </c>
      <c r="F66" s="80"/>
      <c r="G66" s="83"/>
      <c r="H66" s="17"/>
      <c r="I66" s="10" t="e">
        <f t="shared" si="3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2"/>
        <v>#DIV/0!</v>
      </c>
      <c r="F67" s="80"/>
      <c r="G67" s="83"/>
      <c r="H67" s="17"/>
      <c r="I67" s="10" t="e">
        <f t="shared" si="3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2"/>
        <v>#DIV/0!</v>
      </c>
      <c r="F68" s="80"/>
      <c r="G68" s="83"/>
      <c r="H68" s="17"/>
      <c r="I68" s="10" t="e">
        <f t="shared" si="3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2"/>
        <v>#DIV/0!</v>
      </c>
      <c r="F69" s="80"/>
      <c r="G69" s="83"/>
      <c r="H69" s="17"/>
      <c r="I69" s="10" t="e">
        <f t="shared" si="3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2"/>
        <v>#DIV/0!</v>
      </c>
      <c r="F70" s="80"/>
      <c r="G70" s="83"/>
      <c r="H70" s="17"/>
      <c r="I70" s="10" t="e">
        <f t="shared" si="3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2"/>
        <v>#DIV/0!</v>
      </c>
      <c r="F71" s="80"/>
      <c r="G71" s="83"/>
      <c r="H71" s="17"/>
      <c r="I71" s="10" t="e">
        <f t="shared" si="3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2"/>
        <v>#DIV/0!</v>
      </c>
      <c r="F72" s="80"/>
      <c r="G72" s="83"/>
      <c r="H72" s="17"/>
      <c r="I72" s="10" t="e">
        <f t="shared" si="3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2"/>
        <v>#DIV/0!</v>
      </c>
      <c r="F73" s="81"/>
      <c r="G73" s="84"/>
      <c r="H73" s="18"/>
      <c r="I73" s="11" t="e">
        <f t="shared" si="3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2"/>
        <v>#DIV/0!</v>
      </c>
      <c r="F74" s="82">
        <f>F31</f>
        <v>0</v>
      </c>
      <c r="G74" s="79"/>
      <c r="H74" s="40"/>
      <c r="I74" s="65" t="e">
        <f t="shared" si="3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VLOOKUP("&lt;T3Titel3&gt;",Uebersetzungen!$B$4:$E$315,Uebersetzungen!$B$2+1,FALSE)</f>
        <v>Hotel- und Kurbetriebe: Logiernächte im März 2026,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VLOOKUP("&lt;T3SpaltenTitel_1&gt;",Uebersetzungen!$B$4:$E$315,Uebersetzungen!$B$2+1,FALSE)</f>
        <v>März 2026</v>
      </c>
      <c r="D82" s="21" t="str">
        <f>VLOOKUP("&lt;T3SpaltenTitel_2&gt;",Uebersetzungen!$B$4:$E$315,Uebersetzungen!$B$2+1,FALSE)</f>
        <v>März 2025</v>
      </c>
      <c r="E82" s="22" t="str">
        <f>VLOOKUP("&lt;SpaltenTitel_3&gt;",Uebersetzungen!$B$4:$E$315,Uebersetzungen!$B$2+1,FALSE)</f>
        <v>Veränderung 26/25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VLOOKUP("&lt;T3SpaltenTitel_5&gt;",Uebersetzungen!$B$4:$E$315,Uebersetzungen!$B$2+1,FALSE)</f>
        <v>Januar-März 26</v>
      </c>
      <c r="H82" s="22" t="str">
        <f>VLOOKUP("&lt;T3SpaltenTitel_6&gt;",Uebersetzungen!$B$4:$E$315,Uebersetzungen!$B$2+1,FALSE)</f>
        <v>Januar-März 25</v>
      </c>
      <c r="I82" s="22" t="str">
        <f>VLOOKUP("&lt;SpaltenTitel_7&gt;",Uebersetzungen!$B$4:$E$315,Uebersetzungen!$B$2+1,FALSE)</f>
        <v>Veränderung 26/25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4">C84/D84-1</f>
        <v>#DIV/0!</v>
      </c>
      <c r="F84" s="80"/>
      <c r="G84" s="83"/>
      <c r="H84" s="17"/>
      <c r="I84" s="10" t="e">
        <f t="shared" ref="I84:I96" si="5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4"/>
        <v>#DIV/0!</v>
      </c>
      <c r="F85" s="80"/>
      <c r="G85" s="83"/>
      <c r="H85" s="17"/>
      <c r="I85" s="10" t="e">
        <f t="shared" si="5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4"/>
        <v>#DIV/0!</v>
      </c>
      <c r="F86" s="80"/>
      <c r="G86" s="83"/>
      <c r="H86" s="17"/>
      <c r="I86" s="10" t="e">
        <f t="shared" si="5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4"/>
        <v>#DIV/0!</v>
      </c>
      <c r="F87" s="80"/>
      <c r="G87" s="83"/>
      <c r="H87" s="17"/>
      <c r="I87" s="10" t="e">
        <f t="shared" si="5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4"/>
        <v>#DIV/0!</v>
      </c>
      <c r="F88" s="85"/>
      <c r="G88" s="87"/>
      <c r="H88" s="62"/>
      <c r="I88" s="63" t="e">
        <f t="shared" si="5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4"/>
        <v>#DIV/0!</v>
      </c>
      <c r="F89" s="80"/>
      <c r="G89" s="83"/>
      <c r="H89" s="17"/>
      <c r="I89" s="10" t="e">
        <f t="shared" si="5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4"/>
        <v>#DIV/0!</v>
      </c>
      <c r="F90" s="80"/>
      <c r="G90" s="83"/>
      <c r="H90" s="17"/>
      <c r="I90" s="10" t="e">
        <f t="shared" si="5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4"/>
        <v>#DIV/0!</v>
      </c>
      <c r="F91" s="80"/>
      <c r="G91" s="83"/>
      <c r="H91" s="17"/>
      <c r="I91" s="10" t="e">
        <f t="shared" si="5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4"/>
        <v>#DIV/0!</v>
      </c>
      <c r="F92" s="80"/>
      <c r="G92" s="83"/>
      <c r="H92" s="17"/>
      <c r="I92" s="10" t="e">
        <f t="shared" si="5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4"/>
        <v>#DIV/0!</v>
      </c>
      <c r="F93" s="80"/>
      <c r="G93" s="83"/>
      <c r="H93" s="17"/>
      <c r="I93" s="10" t="e">
        <f t="shared" si="5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4"/>
        <v>#DIV/0!</v>
      </c>
      <c r="F94" s="80"/>
      <c r="G94" s="83"/>
      <c r="H94" s="17"/>
      <c r="I94" s="33" t="e">
        <f t="shared" si="5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4"/>
        <v>#DIV/0!</v>
      </c>
      <c r="F95" s="11"/>
      <c r="G95" s="84"/>
      <c r="H95" s="18"/>
      <c r="I95" s="43" t="e">
        <f t="shared" si="5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4"/>
        <v>#DIV/0!</v>
      </c>
      <c r="F96" s="86"/>
      <c r="G96" s="79"/>
      <c r="H96" s="40"/>
      <c r="I96" s="41" t="e">
        <f t="shared" si="5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VLOOKUP("&lt;T3Aktualisierung&gt;",Uebersetzungen!$B$4:$E$315,Uebersetzungen!$B$2+1,FALSE)</f>
        <v>Letztmals aktualisiert am: 22.02.2025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VLOOKUP("&lt;T3Legende_3&gt;",Uebersetzungen!$B$4:$E$315,Uebersetzungen!$B$2+1,FALSE)</f>
        <v>Daten des Mai 2025 erscheinen am 5. Juli 2025.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900-000000000000}"/>
    <hyperlink ref="E76" location="Länder_Pajais_Paesi!A1" display="Länder / Pajais / Paese" xr:uid="{00000000-0004-0000-09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5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1" t="str">
        <f>VLOOKUP("&lt;Fachbereich&gt;",Uebersetzungen!$B$4:$E$315,Uebersetzungen!$B$2+1,FALSE)</f>
        <v>Daten &amp; Statistik</v>
      </c>
      <c r="B7" s="131"/>
      <c r="C7" s="131"/>
      <c r="D7" s="131"/>
      <c r="E7" s="95"/>
      <c r="F7" s="1"/>
    </row>
    <row r="8" spans="1:10" ht="10.5" customHeight="1" x14ac:dyDescent="0.2"/>
    <row r="9" spans="1:10" ht="18" x14ac:dyDescent="0.25">
      <c r="A9" s="2" t="str">
        <f>VLOOKUP("&lt;T2Titel1&gt;",Uebersetzungen!$B$4:$E$315,Uebersetzungen!$B$2+1,FALSE)</f>
        <v>Hotel- und Kurbetriebe: Logiernächte im Februar 2026,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VLOOKUP("&lt;T2SpaltenTitel_1&gt;",Uebersetzungen!$B$4:$E$315,Uebersetzungen!$B$2+1,FALSE)</f>
        <v>Februar 2026</v>
      </c>
      <c r="D12" s="21" t="str">
        <f>VLOOKUP("&lt;T2SpaltenTitel_2&gt;",Uebersetzungen!$B$4:$E$315,Uebersetzungen!$B$2+1,FALSE)</f>
        <v>Februar 2025</v>
      </c>
      <c r="E12" s="22" t="str">
        <f>VLOOKUP("&lt;SpaltenTitel_3&gt;",Uebersetzungen!$B$4:$E$315,Uebersetzungen!$B$2+1,FALSE)</f>
        <v>Veränderung 26/25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VLOOKUP("&lt;T2SpaltenTitel_5&gt;",Uebersetzungen!$B$4:$E$315,Uebersetzungen!$B$2+1,FALSE)</f>
        <v>Januar-Februar 26</v>
      </c>
      <c r="H12" s="22" t="str">
        <f>VLOOKUP("&lt;T2SpaltenTitel_6&gt;",Uebersetzungen!$B$4:$E$315,Uebersetzungen!$B$2+1,FALSE)</f>
        <v>Januar-Februar 25</v>
      </c>
      <c r="I12" s="22" t="str">
        <f>VLOOKUP("&lt;SpaltenTitel_7&gt;",Uebersetzungen!$B$4:$E$315,Uebersetzungen!$B$2+1,FALSE)</f>
        <v>Veränderung 26/25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1"/>
      <c r="D27" s="52"/>
      <c r="E27" s="53" t="e">
        <f t="shared" si="0"/>
        <v>#DIV/0!</v>
      </c>
      <c r="F27" s="72"/>
      <c r="G27" s="76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1"/>
      <c r="D29" s="52"/>
      <c r="E29" s="53" t="e">
        <f t="shared" si="0"/>
        <v>#DIV/0!</v>
      </c>
      <c r="F29" s="72"/>
      <c r="G29" s="76"/>
      <c r="H29" s="52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/>
      <c r="D30" s="57"/>
      <c r="E30" s="53" t="e">
        <f t="shared" si="0"/>
        <v>#DIV/0!</v>
      </c>
      <c r="F30" s="73"/>
      <c r="G30" s="78"/>
      <c r="H30" s="57"/>
      <c r="I30" s="53" t="e">
        <f t="shared" si="1"/>
        <v>#DIV/0!</v>
      </c>
      <c r="J30" s="58"/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/>
      <c r="D31" s="19"/>
      <c r="E31" s="12" t="e">
        <f t="shared" si="0"/>
        <v>#DIV/0!</v>
      </c>
      <c r="F31" s="74"/>
      <c r="G31" s="79"/>
      <c r="H31" s="19"/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VLOOKUP("&lt;T2Titel2&gt;",Uebersetzungen!$B$4:$E$315,Uebersetzungen!$B$2+1,FALSE)</f>
        <v>Hotel- und Kurbetriebe: Logiernächte im Februar 2026,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VLOOKUP("&lt;T2SpaltenTitel_1&gt;",Uebersetzungen!$B$4:$E$315,Uebersetzungen!$B$2+1,FALSE)</f>
        <v>Februar 2026</v>
      </c>
      <c r="D39" s="21" t="str">
        <f>VLOOKUP("&lt;T2SpaltenTitel_2&gt;",Uebersetzungen!$B$4:$E$315,Uebersetzungen!$B$2+1,FALSE)</f>
        <v>Februar 2025</v>
      </c>
      <c r="E39" s="22" t="str">
        <f>VLOOKUP("&lt;SpaltenTitel_3&gt;",Uebersetzungen!$B$4:$E$315,Uebersetzungen!$B$2+1,FALSE)</f>
        <v>Veränderung 26/25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VLOOKUP("&lt;T2SpaltenTitel_5&gt;",Uebersetzungen!$B$4:$E$315,Uebersetzungen!$B$2+1,FALSE)</f>
        <v>Januar-Februar 26</v>
      </c>
      <c r="H39" s="22" t="str">
        <f>VLOOKUP("&lt;T2SpaltenTitel_6&gt;",Uebersetzungen!$B$4:$E$315,Uebersetzungen!$B$2+1,FALSE)</f>
        <v>Januar-Februar 25</v>
      </c>
      <c r="I39" s="22" t="str">
        <f>VLOOKUP("&lt;SpaltenTitel_7&gt;",Uebersetzungen!$B$4:$E$315,Uebersetzungen!$B$2+1,FALSE)</f>
        <v>Veränderung 26/25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2">C41/D41-1</f>
        <v>#DIV/0!</v>
      </c>
      <c r="F41" s="80"/>
      <c r="G41" s="83"/>
      <c r="H41" s="17"/>
      <c r="I41" s="10" t="e">
        <f t="shared" ref="I41:I74" si="3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2"/>
        <v>#DIV/0!</v>
      </c>
      <c r="F42" s="80"/>
      <c r="G42" s="83"/>
      <c r="H42" s="17"/>
      <c r="I42" s="10" t="e">
        <f t="shared" si="3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2"/>
        <v>#DIV/0!</v>
      </c>
      <c r="F43" s="80"/>
      <c r="G43" s="83"/>
      <c r="H43" s="17"/>
      <c r="I43" s="10" t="e">
        <f t="shared" si="3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2"/>
        <v>#DIV/0!</v>
      </c>
      <c r="F44" s="80"/>
      <c r="G44" s="83"/>
      <c r="H44" s="17"/>
      <c r="I44" s="10" t="e">
        <f t="shared" si="3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2"/>
        <v>#DIV/0!</v>
      </c>
      <c r="F45" s="80"/>
      <c r="G45" s="83"/>
      <c r="H45" s="17"/>
      <c r="I45" s="10" t="e">
        <f t="shared" si="3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2"/>
        <v>#DIV/0!</v>
      </c>
      <c r="F46" s="80"/>
      <c r="G46" s="83"/>
      <c r="H46" s="17"/>
      <c r="I46" s="10" t="e">
        <f t="shared" si="3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2"/>
        <v>#DIV/0!</v>
      </c>
      <c r="F47" s="80"/>
      <c r="G47" s="83"/>
      <c r="H47" s="17"/>
      <c r="I47" s="10" t="e">
        <f t="shared" si="3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2"/>
        <v>#DIV/0!</v>
      </c>
      <c r="F48" s="80"/>
      <c r="G48" s="83"/>
      <c r="H48" s="17"/>
      <c r="I48" s="10" t="e">
        <f t="shared" si="3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2"/>
        <v>#DIV/0!</v>
      </c>
      <c r="F49" s="80"/>
      <c r="G49" s="83"/>
      <c r="H49" s="17"/>
      <c r="I49" s="10" t="e">
        <f t="shared" si="3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2"/>
        <v>#DIV/0!</v>
      </c>
      <c r="F50" s="80"/>
      <c r="G50" s="83"/>
      <c r="H50" s="17"/>
      <c r="I50" s="10" t="e">
        <f t="shared" si="3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2"/>
        <v>#DIV/0!</v>
      </c>
      <c r="F51" s="80"/>
      <c r="G51" s="83"/>
      <c r="H51" s="17"/>
      <c r="I51" s="10" t="e">
        <f t="shared" si="3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2"/>
        <v>#DIV/0!</v>
      </c>
      <c r="F52" s="80"/>
      <c r="G52" s="83"/>
      <c r="H52" s="17"/>
      <c r="I52" s="10" t="e">
        <f t="shared" si="3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2"/>
        <v>#DIV/0!</v>
      </c>
      <c r="F53" s="80"/>
      <c r="G53" s="83"/>
      <c r="H53" s="17"/>
      <c r="I53" s="10" t="e">
        <f t="shared" si="3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2"/>
        <v>#DIV/0!</v>
      </c>
      <c r="F54" s="80"/>
      <c r="G54" s="83"/>
      <c r="H54" s="17"/>
      <c r="I54" s="10" t="e">
        <f t="shared" si="3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2"/>
        <v>#DIV/0!</v>
      </c>
      <c r="F55" s="80"/>
      <c r="G55" s="83"/>
      <c r="H55" s="17"/>
      <c r="I55" s="10" t="e">
        <f t="shared" si="3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2"/>
        <v>#DIV/0!</v>
      </c>
      <c r="F56" s="80"/>
      <c r="G56" s="83"/>
      <c r="H56" s="17"/>
      <c r="I56" s="10" t="e">
        <f t="shared" si="3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2"/>
        <v>#DIV/0!</v>
      </c>
      <c r="F57" s="80"/>
      <c r="G57" s="83"/>
      <c r="H57" s="17"/>
      <c r="I57" s="10" t="e">
        <f t="shared" si="3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2"/>
        <v>#DIV/0!</v>
      </c>
      <c r="F58" s="80"/>
      <c r="G58" s="83"/>
      <c r="H58" s="17"/>
      <c r="I58" s="10" t="e">
        <f t="shared" si="3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2"/>
        <v>#DIV/0!</v>
      </c>
      <c r="F59" s="80"/>
      <c r="G59" s="83"/>
      <c r="H59" s="17"/>
      <c r="I59" s="10" t="e">
        <f t="shared" si="3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2"/>
        <v>#DIV/0!</v>
      </c>
      <c r="F60" s="80"/>
      <c r="G60" s="83"/>
      <c r="H60" s="17"/>
      <c r="I60" s="10" t="e">
        <f t="shared" si="3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2"/>
        <v>#DIV/0!</v>
      </c>
      <c r="F61" s="80"/>
      <c r="G61" s="83"/>
      <c r="H61" s="17"/>
      <c r="I61" s="10" t="e">
        <f t="shared" si="3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2"/>
        <v>#DIV/0!</v>
      </c>
      <c r="F62" s="80"/>
      <c r="G62" s="83"/>
      <c r="H62" s="17"/>
      <c r="I62" s="10" t="e">
        <f t="shared" si="3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2"/>
        <v>#DIV/0!</v>
      </c>
      <c r="F63" s="80"/>
      <c r="G63" s="83"/>
      <c r="H63" s="17"/>
      <c r="I63" s="10" t="e">
        <f t="shared" si="3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2"/>
        <v>#DIV/0!</v>
      </c>
      <c r="F66" s="80"/>
      <c r="G66" s="83"/>
      <c r="H66" s="17"/>
      <c r="I66" s="10" t="e">
        <f t="shared" si="3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2"/>
        <v>#DIV/0!</v>
      </c>
      <c r="F67" s="80"/>
      <c r="G67" s="83"/>
      <c r="H67" s="17"/>
      <c r="I67" s="10" t="e">
        <f t="shared" si="3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2"/>
        <v>#DIV/0!</v>
      </c>
      <c r="F68" s="80"/>
      <c r="G68" s="83"/>
      <c r="H68" s="17"/>
      <c r="I68" s="10" t="e">
        <f t="shared" si="3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2"/>
        <v>#DIV/0!</v>
      </c>
      <c r="F69" s="80"/>
      <c r="G69" s="83"/>
      <c r="H69" s="17"/>
      <c r="I69" s="10" t="e">
        <f t="shared" si="3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2"/>
        <v>#DIV/0!</v>
      </c>
      <c r="F70" s="80"/>
      <c r="G70" s="83"/>
      <c r="H70" s="17"/>
      <c r="I70" s="10" t="e">
        <f t="shared" si="3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2"/>
        <v>#DIV/0!</v>
      </c>
      <c r="F71" s="80"/>
      <c r="G71" s="83"/>
      <c r="H71" s="17"/>
      <c r="I71" s="10" t="e">
        <f t="shared" si="3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2"/>
        <v>#DIV/0!</v>
      </c>
      <c r="F72" s="80"/>
      <c r="G72" s="83"/>
      <c r="H72" s="17"/>
      <c r="I72" s="10" t="e">
        <f t="shared" si="3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2"/>
        <v>#DIV/0!</v>
      </c>
      <c r="F73" s="81"/>
      <c r="G73" s="84"/>
      <c r="H73" s="18"/>
      <c r="I73" s="11" t="e">
        <f t="shared" si="3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2"/>
        <v>#DIV/0!</v>
      </c>
      <c r="F74" s="82">
        <f>F31</f>
        <v>0</v>
      </c>
      <c r="G74" s="79"/>
      <c r="H74" s="40"/>
      <c r="I74" s="65" t="e">
        <f t="shared" si="3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VLOOKUP("&lt;T2Titel3&gt;",Uebersetzungen!$B$4:$E$315,Uebersetzungen!$B$2+1,FALSE)</f>
        <v>Hotel- und Kurbetriebe: Logiernächte im Februar 2026,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VLOOKUP("&lt;T2SpaltenTitel_1&gt;",Uebersetzungen!$B$4:$E$315,Uebersetzungen!$B$2+1,FALSE)</f>
        <v>Februar 2026</v>
      </c>
      <c r="D82" s="21" t="str">
        <f>VLOOKUP("&lt;T2SpaltenTitel_2&gt;",Uebersetzungen!$B$4:$E$315,Uebersetzungen!$B$2+1,FALSE)</f>
        <v>Februar 2025</v>
      </c>
      <c r="E82" s="22" t="str">
        <f>VLOOKUP("&lt;SpaltenTitel_3&gt;",Uebersetzungen!$B$4:$E$315,Uebersetzungen!$B$2+1,FALSE)</f>
        <v>Veränderung 26/25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VLOOKUP("&lt;T2SpaltenTitel_5&gt;",Uebersetzungen!$B$4:$E$315,Uebersetzungen!$B$2+1,FALSE)</f>
        <v>Januar-Februar 26</v>
      </c>
      <c r="H82" s="22" t="str">
        <f>VLOOKUP("&lt;T2SpaltenTitel_6&gt;",Uebersetzungen!$B$4:$E$315,Uebersetzungen!$B$2+1,FALSE)</f>
        <v>Januar-Februar 25</v>
      </c>
      <c r="I82" s="22" t="str">
        <f>VLOOKUP("&lt;SpaltenTitel_7&gt;",Uebersetzungen!$B$4:$E$315,Uebersetzungen!$B$2+1,FALSE)</f>
        <v>Veränderung 26/25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4">C84/D84-1</f>
        <v>#DIV/0!</v>
      </c>
      <c r="F84" s="80"/>
      <c r="G84" s="83"/>
      <c r="H84" s="17"/>
      <c r="I84" s="10" t="e">
        <f t="shared" ref="I84:I96" si="5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4"/>
        <v>#DIV/0!</v>
      </c>
      <c r="F85" s="80"/>
      <c r="G85" s="83"/>
      <c r="H85" s="17"/>
      <c r="I85" s="10" t="e">
        <f t="shared" si="5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4"/>
        <v>#DIV/0!</v>
      </c>
      <c r="F86" s="80"/>
      <c r="G86" s="83"/>
      <c r="H86" s="17"/>
      <c r="I86" s="10" t="e">
        <f t="shared" si="5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4"/>
        <v>#DIV/0!</v>
      </c>
      <c r="F87" s="80"/>
      <c r="G87" s="83"/>
      <c r="H87" s="17"/>
      <c r="I87" s="10" t="e">
        <f t="shared" si="5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4"/>
        <v>#DIV/0!</v>
      </c>
      <c r="F88" s="85"/>
      <c r="G88" s="87"/>
      <c r="H88" s="62"/>
      <c r="I88" s="63" t="e">
        <f t="shared" si="5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4"/>
        <v>#DIV/0!</v>
      </c>
      <c r="F89" s="80"/>
      <c r="G89" s="83"/>
      <c r="H89" s="17"/>
      <c r="I89" s="10" t="e">
        <f t="shared" si="5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4"/>
        <v>#DIV/0!</v>
      </c>
      <c r="F90" s="80"/>
      <c r="G90" s="83"/>
      <c r="H90" s="17"/>
      <c r="I90" s="10" t="e">
        <f t="shared" si="5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4"/>
        <v>#DIV/0!</v>
      </c>
      <c r="F91" s="80"/>
      <c r="G91" s="83"/>
      <c r="H91" s="17"/>
      <c r="I91" s="10" t="e">
        <f t="shared" si="5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4"/>
        <v>#DIV/0!</v>
      </c>
      <c r="F92" s="80"/>
      <c r="G92" s="83"/>
      <c r="H92" s="17"/>
      <c r="I92" s="10" t="e">
        <f t="shared" si="5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4"/>
        <v>#DIV/0!</v>
      </c>
      <c r="F93" s="80"/>
      <c r="G93" s="83"/>
      <c r="H93" s="17"/>
      <c r="I93" s="10" t="e">
        <f t="shared" si="5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4"/>
        <v>#DIV/0!</v>
      </c>
      <c r="F94" s="80"/>
      <c r="G94" s="83"/>
      <c r="H94" s="17"/>
      <c r="I94" s="33" t="e">
        <f t="shared" si="5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4"/>
        <v>#DIV/0!</v>
      </c>
      <c r="F95" s="11"/>
      <c r="G95" s="84"/>
      <c r="H95" s="18"/>
      <c r="I95" s="43" t="e">
        <f t="shared" si="5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4"/>
        <v>#DIV/0!</v>
      </c>
      <c r="F96" s="86"/>
      <c r="G96" s="79"/>
      <c r="H96" s="40"/>
      <c r="I96" s="41" t="e">
        <f t="shared" si="5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VLOOKUP("&lt;T2Aktualisierung&gt;",Uebersetzungen!$B$4:$E$315,Uebersetzungen!$B$2+1,FALSE)</f>
        <v>Letztmals aktualisiert am: 22.02.2025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VLOOKUP("&lt;T2Legende_3&gt;",Uebersetzungen!$B$4:$E$315,Uebersetzungen!$B$2+1,FALSE)</f>
        <v>Daten des März 2025 erscheinen am 6. Mai 2025.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A00-000000000000}"/>
    <hyperlink ref="E76" location="Länder_Pajais_Paesi!A1" display="Länder / Pajais / Paese" xr:uid="{00000000-0004-0000-0A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6"/>
  <dimension ref="A1:K105"/>
  <sheetViews>
    <sheetView tabSelected="1"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3" width="13.5703125" style="4" customWidth="1"/>
    <col min="4" max="4" width="13.28515625" style="4" customWidth="1"/>
    <col min="5" max="5" width="12.5703125" style="4" customWidth="1"/>
    <col min="6" max="6" width="15.5703125" style="4" bestFit="1" customWidth="1"/>
    <col min="7" max="7" width="11.28515625" style="4" bestFit="1" customWidth="1"/>
    <col min="8" max="8" width="10.7109375" style="4" bestFit="1" customWidth="1"/>
    <col min="9" max="9" width="12.5703125" style="4" customWidth="1"/>
    <col min="10" max="10" width="15.5703125" style="4" bestFit="1" customWidth="1"/>
    <col min="11" max="16384" width="11.42578125" style="4"/>
  </cols>
  <sheetData>
    <row r="1" spans="1:11" s="68" customFormat="1" x14ac:dyDescent="0.2"/>
    <row r="2" spans="1:11" s="68" customFormat="1" ht="15.75" x14ac:dyDescent="0.25">
      <c r="B2" s="69"/>
      <c r="C2" s="4"/>
      <c r="D2" s="4"/>
    </row>
    <row r="3" spans="1:11" s="68" customFormat="1" ht="15.75" x14ac:dyDescent="0.25">
      <c r="B3" s="69"/>
      <c r="C3" s="4"/>
      <c r="D3" s="4"/>
    </row>
    <row r="4" spans="1:11" s="68" customFormat="1" ht="15.75" x14ac:dyDescent="0.25">
      <c r="B4" s="69"/>
      <c r="C4" s="4"/>
      <c r="D4" s="4"/>
    </row>
    <row r="5" spans="1:11" s="68" customFormat="1" x14ac:dyDescent="0.2"/>
    <row r="6" spans="1:11" s="68" customFormat="1" x14ac:dyDescent="0.2"/>
    <row r="7" spans="1:11" ht="15.75" customHeight="1" x14ac:dyDescent="0.2">
      <c r="A7" s="131" t="str">
        <f>VLOOKUP("&lt;Fachbereich&gt;",Uebersetzungen!$B$4:$E$33,Uebersetzungen!$B$2+1,FALSE)</f>
        <v>Daten &amp; Statistik</v>
      </c>
      <c r="B7" s="131"/>
      <c r="C7" s="131"/>
      <c r="D7" s="131"/>
      <c r="E7" s="95"/>
      <c r="F7" s="1"/>
    </row>
    <row r="8" spans="1:11" ht="10.5" customHeight="1" x14ac:dyDescent="0.2"/>
    <row r="9" spans="1:11" ht="18" x14ac:dyDescent="0.25">
      <c r="A9" s="2" t="str">
        <f>VLOOKUP("&lt;Titel1&gt;",Uebersetzungen!$B$4:$E$31,Uebersetzungen!$B$2+1,FALSE)</f>
        <v>Hotel- und Kurbetriebe: Logiernächte im Januar 2026, nach Destinationen</v>
      </c>
      <c r="B9" s="3"/>
      <c r="C9" s="3"/>
      <c r="D9" s="3"/>
      <c r="E9" s="3"/>
      <c r="F9" s="3"/>
    </row>
    <row r="10" spans="1:11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1" ht="13.5" thickBot="1" x14ac:dyDescent="0.25"/>
    <row r="12" spans="1:11" ht="51" customHeight="1" x14ac:dyDescent="0.2">
      <c r="A12" s="8"/>
      <c r="B12" s="9"/>
      <c r="C12" s="20" t="str">
        <f>VLOOKUP("&lt;SpaltenTitel_1&gt;",Uebersetzungen!$B$4:$E$34,Uebersetzungen!$B$2+1,FALSE)</f>
        <v>Januar 2026</v>
      </c>
      <c r="D12" s="21" t="str">
        <f>VLOOKUP("&lt;SpaltenTitel_2&gt;",Uebersetzungen!$B$4:$E$34,Uebersetzungen!$B$2+1,FALSE)</f>
        <v>Januar 2025</v>
      </c>
      <c r="E12" s="22" t="str">
        <f>VLOOKUP("&lt;SpaltenTitel_3&gt;",Uebersetzungen!$B$4:$E$34,Uebersetzungen!$B$2+1,FALSE)</f>
        <v>Veränderung 26/25 in %</v>
      </c>
      <c r="F12" s="23" t="str">
        <f>VLOOKUP("&lt;SpaltenTitel_4&gt;",Uebersetzungen!$B$4:$E$34,Uebersetzungen!$B$2+1,FALSE)</f>
        <v>Veränderung zum
5-Jahresmittel 
in %</v>
      </c>
      <c r="G12" s="97"/>
      <c r="H12" s="97"/>
      <c r="I12" s="97"/>
      <c r="J12" s="97"/>
      <c r="K12" s="96"/>
    </row>
    <row r="13" spans="1:11" x14ac:dyDescent="0.2">
      <c r="A13" s="24" t="str">
        <f>VLOOKUP("&lt;Zeilentitel_1&gt;",Uebersetzungen!$B$4:$E$88,Uebersetzungen!$B$2+1,FALSE)</f>
        <v>Arosa</v>
      </c>
      <c r="B13" s="5"/>
      <c r="C13" s="51">
        <v>71291</v>
      </c>
      <c r="D13" s="52">
        <v>74659</v>
      </c>
      <c r="E13" s="53">
        <f t="shared" ref="E13:E31" si="0">C13/D13-1</f>
        <v>-4.511177486974105E-2</v>
      </c>
      <c r="F13" s="54">
        <v>0.14919868333241992</v>
      </c>
      <c r="G13" s="101"/>
      <c r="H13" s="102"/>
      <c r="I13" s="103"/>
      <c r="J13" s="104"/>
      <c r="K13" s="96"/>
    </row>
    <row r="14" spans="1:11" x14ac:dyDescent="0.2">
      <c r="A14" s="24" t="str">
        <f>VLOOKUP("&lt;Zeilentitel_2&gt;",Uebersetzungen!$B$4:$E$88,Uebersetzungen!$B$2+1,FALSE)</f>
        <v>Bergün Filisur</v>
      </c>
      <c r="B14" s="5"/>
      <c r="C14" s="51">
        <v>7549</v>
      </c>
      <c r="D14" s="52">
        <v>7601</v>
      </c>
      <c r="E14" s="53">
        <f t="shared" si="0"/>
        <v>-6.841205104591519E-3</v>
      </c>
      <c r="F14" s="54">
        <v>6.938463281958307E-2</v>
      </c>
      <c r="G14" s="101"/>
      <c r="H14" s="102"/>
      <c r="I14" s="103"/>
      <c r="J14" s="104"/>
      <c r="K14" s="96"/>
    </row>
    <row r="15" spans="1:11" x14ac:dyDescent="0.2">
      <c r="A15" s="24" t="str">
        <f>VLOOKUP("&lt;Zeilentitel_3&gt;",Uebersetzungen!$B$4:$E$88,Uebersetzungen!$B$2+1,FALSE)</f>
        <v>Bregaglia Engadin</v>
      </c>
      <c r="B15" s="5"/>
      <c r="C15" s="51">
        <v>5160</v>
      </c>
      <c r="D15" s="52">
        <v>4563</v>
      </c>
      <c r="E15" s="53">
        <f t="shared" si="0"/>
        <v>0.13083497698882307</v>
      </c>
      <c r="F15" s="54">
        <v>0.16169120626772915</v>
      </c>
      <c r="G15" s="101"/>
      <c r="H15" s="102"/>
      <c r="I15" s="103"/>
      <c r="J15" s="104"/>
      <c r="K15" s="96"/>
    </row>
    <row r="16" spans="1:11" x14ac:dyDescent="0.2">
      <c r="A16" s="24" t="str">
        <f>VLOOKUP("&lt;Zeilentitel_4&gt;",Uebersetzungen!$B$4:$E$88,Uebersetzungen!$B$2+1,FALSE)</f>
        <v>Bündner Herrschaft</v>
      </c>
      <c r="B16" s="5"/>
      <c r="C16" s="51">
        <v>3909</v>
      </c>
      <c r="D16" s="52">
        <v>3709</v>
      </c>
      <c r="E16" s="53">
        <f t="shared" si="0"/>
        <v>5.3922890266918211E-2</v>
      </c>
      <c r="F16" s="54">
        <v>0.40017193208682555</v>
      </c>
      <c r="G16" s="101"/>
      <c r="H16" s="102"/>
      <c r="I16" s="103"/>
      <c r="J16" s="104"/>
      <c r="K16" s="96"/>
    </row>
    <row r="17" spans="1:11" x14ac:dyDescent="0.2">
      <c r="A17" s="24" t="str">
        <f>VLOOKUP("&lt;Zeilentitel_5&gt;",Uebersetzungen!$B$4:$E$88,Uebersetzungen!$B$2+1,FALSE)</f>
        <v>Chur</v>
      </c>
      <c r="B17" s="5"/>
      <c r="C17" s="51">
        <v>20930</v>
      </c>
      <c r="D17" s="52">
        <v>18912</v>
      </c>
      <c r="E17" s="53">
        <f t="shared" si="0"/>
        <v>0.10670473773265643</v>
      </c>
      <c r="F17" s="54">
        <v>0.58335098496081339</v>
      </c>
      <c r="G17" s="101"/>
      <c r="H17" s="102"/>
      <c r="I17" s="103"/>
      <c r="J17" s="104"/>
      <c r="K17" s="96"/>
    </row>
    <row r="18" spans="1:11" x14ac:dyDescent="0.2">
      <c r="A18" s="24" t="str">
        <f>VLOOKUP("&lt;Zeilentitel_6&gt;",Uebersetzungen!$B$4:$E$88,Uebersetzungen!$B$2+1,FALSE)</f>
        <v>Davos Klosters</v>
      </c>
      <c r="B18" s="5"/>
      <c r="C18" s="51">
        <v>121327</v>
      </c>
      <c r="D18" s="52">
        <v>123535</v>
      </c>
      <c r="E18" s="53">
        <f t="shared" si="0"/>
        <v>-1.7873477152224093E-2</v>
      </c>
      <c r="F18" s="54">
        <v>0.10446073710216863</v>
      </c>
      <c r="G18" s="101"/>
      <c r="H18" s="102"/>
      <c r="I18" s="103"/>
      <c r="J18" s="104"/>
      <c r="K18" s="96"/>
    </row>
    <row r="19" spans="1:11" x14ac:dyDescent="0.2">
      <c r="A19" s="24" t="str">
        <f>VLOOKUP("&lt;Zeilentitel_7&gt;",Uebersetzungen!$B$4:$E$88,Uebersetzungen!$B$2+1,FALSE)</f>
        <v>Disentis Sedrun</v>
      </c>
      <c r="B19" s="5"/>
      <c r="C19" s="51">
        <v>17520</v>
      </c>
      <c r="D19" s="52">
        <v>16859</v>
      </c>
      <c r="E19" s="53">
        <f t="shared" si="0"/>
        <v>3.920754493149059E-2</v>
      </c>
      <c r="F19" s="54">
        <v>0.15217677232671312</v>
      </c>
      <c r="G19" s="101"/>
      <c r="H19" s="102"/>
      <c r="I19" s="103"/>
      <c r="J19" s="104"/>
      <c r="K19" s="96"/>
    </row>
    <row r="20" spans="1:11" x14ac:dyDescent="0.2">
      <c r="A20" s="24" t="str">
        <f>VLOOKUP("&lt;Zeilentitel_8&gt;",Uebersetzungen!$B$4:$E$88,Uebersetzungen!$B$2+1,FALSE)</f>
        <v>Scuol Samnaun Val Müstair</v>
      </c>
      <c r="B20" s="5"/>
      <c r="C20" s="51">
        <v>65789</v>
      </c>
      <c r="D20" s="52">
        <v>68719</v>
      </c>
      <c r="E20" s="53">
        <f t="shared" si="0"/>
        <v>-4.263740741279709E-2</v>
      </c>
      <c r="F20" s="54">
        <v>0.17720001431485533</v>
      </c>
      <c r="G20" s="101"/>
      <c r="H20" s="102"/>
      <c r="I20" s="103"/>
      <c r="J20" s="104"/>
      <c r="K20" s="96"/>
    </row>
    <row r="21" spans="1:11" x14ac:dyDescent="0.2">
      <c r="A21" s="24" t="str">
        <f>VLOOKUP("&lt;Zeilentitel_9&gt;",Uebersetzungen!$B$4:$E$88,Uebersetzungen!$B$2+1,FALSE)</f>
        <v>Engadin St. Moritz</v>
      </c>
      <c r="B21" s="5"/>
      <c r="C21" s="51">
        <v>233702</v>
      </c>
      <c r="D21" s="52">
        <v>232408</v>
      </c>
      <c r="E21" s="53">
        <f t="shared" si="0"/>
        <v>5.5677945681731345E-3</v>
      </c>
      <c r="F21" s="54">
        <v>0.22041039277347774</v>
      </c>
      <c r="G21" s="101"/>
      <c r="H21" s="102"/>
      <c r="I21" s="103"/>
      <c r="J21" s="104"/>
      <c r="K21" s="96"/>
    </row>
    <row r="22" spans="1:11" x14ac:dyDescent="0.2">
      <c r="A22" s="24" t="str">
        <f>VLOOKUP("&lt;Zeilentitel_10&gt;",Uebersetzungen!$B$4:$E$88,Uebersetzungen!$B$2+1,FALSE)</f>
        <v>Flims Laax</v>
      </c>
      <c r="B22" s="5"/>
      <c r="C22" s="51">
        <v>69935</v>
      </c>
      <c r="D22" s="52">
        <v>68558</v>
      </c>
      <c r="E22" s="53">
        <f t="shared" si="0"/>
        <v>2.00851833484057E-2</v>
      </c>
      <c r="F22" s="54">
        <v>6.286132877803241E-2</v>
      </c>
      <c r="G22" s="101"/>
      <c r="H22" s="102"/>
      <c r="I22" s="103"/>
      <c r="J22" s="104"/>
      <c r="K22" s="96"/>
    </row>
    <row r="23" spans="1:11" x14ac:dyDescent="0.2">
      <c r="A23" s="24" t="str">
        <f>VLOOKUP("&lt;Zeilentitel_11&gt;",Uebersetzungen!$B$4:$E$88,Uebersetzungen!$B$2+1,FALSE)</f>
        <v>Lenzerheide</v>
      </c>
      <c r="B23" s="5"/>
      <c r="C23" s="51">
        <v>46616</v>
      </c>
      <c r="D23" s="52">
        <v>45774</v>
      </c>
      <c r="E23" s="53">
        <f t="shared" si="0"/>
        <v>1.839472189452529E-2</v>
      </c>
      <c r="F23" s="54">
        <v>6.5464735165181809E-2</v>
      </c>
      <c r="G23" s="101"/>
      <c r="H23" s="102"/>
      <c r="I23" s="103"/>
      <c r="J23" s="104"/>
      <c r="K23" s="96"/>
    </row>
    <row r="24" spans="1:11" x14ac:dyDescent="0.2">
      <c r="A24" s="24" t="str">
        <f>VLOOKUP("&lt;Zeilentitel_12&gt;",Uebersetzungen!$B$4:$E$88,Uebersetzungen!$B$2+1,FALSE)</f>
        <v>Prättigau</v>
      </c>
      <c r="B24" s="5"/>
      <c r="C24" s="51">
        <v>11544</v>
      </c>
      <c r="D24" s="52">
        <v>9217</v>
      </c>
      <c r="E24" s="53">
        <f t="shared" si="0"/>
        <v>0.25246826516220033</v>
      </c>
      <c r="F24" s="54">
        <v>0.44495068342262067</v>
      </c>
      <c r="G24" s="101"/>
      <c r="H24" s="102"/>
      <c r="I24" s="103"/>
      <c r="J24" s="104"/>
      <c r="K24" s="96"/>
    </row>
    <row r="25" spans="1:11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3859</v>
      </c>
      <c r="D25" s="52">
        <v>3434</v>
      </c>
      <c r="E25" s="53">
        <f t="shared" si="0"/>
        <v>0.12376237623762387</v>
      </c>
      <c r="F25" s="54">
        <v>0.58402430013956175</v>
      </c>
      <c r="G25" s="101"/>
      <c r="H25" s="102"/>
      <c r="I25" s="103"/>
      <c r="J25" s="104"/>
      <c r="K25" s="96"/>
    </row>
    <row r="26" spans="1:11" x14ac:dyDescent="0.2">
      <c r="A26" s="24" t="str">
        <f>VLOOKUP("&lt;Zeilentitel_14&gt;",Uebersetzungen!$B$4:$E$88,Uebersetzungen!$B$2+1,FALSE)</f>
        <v>Val Surses</v>
      </c>
      <c r="B26" s="5"/>
      <c r="C26" s="51">
        <v>13354</v>
      </c>
      <c r="D26" s="52">
        <v>13115</v>
      </c>
      <c r="E26" s="53">
        <f t="shared" si="0"/>
        <v>1.8223408311094147E-2</v>
      </c>
      <c r="F26" s="54">
        <v>0.29527245921356382</v>
      </c>
      <c r="G26" s="101"/>
      <c r="H26" s="102"/>
      <c r="I26" s="103"/>
      <c r="J26" s="104"/>
      <c r="K26" s="96"/>
    </row>
    <row r="27" spans="1:11" x14ac:dyDescent="0.2">
      <c r="A27" s="24" t="str">
        <f>VLOOKUP("&lt;Zeilentitel_15&gt;",Uebersetzungen!$B$4:$E$88,Uebersetzungen!$B$2+1,FALSE)</f>
        <v>Surselva</v>
      </c>
      <c r="B27" s="5"/>
      <c r="C27" s="51">
        <v>13004</v>
      </c>
      <c r="D27" s="52">
        <v>13928</v>
      </c>
      <c r="E27" s="53">
        <f t="shared" si="0"/>
        <v>-6.6341183228029843E-2</v>
      </c>
      <c r="F27" s="54">
        <v>3.7812644650524252E-2</v>
      </c>
      <c r="G27" s="101"/>
      <c r="H27" s="102"/>
      <c r="I27" s="103"/>
      <c r="J27" s="104"/>
      <c r="K27" s="96"/>
    </row>
    <row r="28" spans="1:11" x14ac:dyDescent="0.2">
      <c r="A28" s="141" t="str">
        <f>VLOOKUP("&lt;Zeilentitel_16&gt;",Uebersetzungen!$B$4:$E$88,Uebersetzungen!$B$2+1,FALSE)</f>
        <v>Valposchiavo</v>
      </c>
      <c r="B28" s="142" t="s">
        <v>634</v>
      </c>
      <c r="C28" s="132" t="s">
        <v>633</v>
      </c>
      <c r="D28" s="133">
        <v>3618</v>
      </c>
      <c r="E28" s="134">
        <v>1.8770038695411828</v>
      </c>
      <c r="F28" s="135">
        <v>3.2385373401742807</v>
      </c>
      <c r="G28" s="101"/>
      <c r="H28" s="102"/>
      <c r="I28" s="103"/>
      <c r="J28" s="104"/>
      <c r="K28" s="96"/>
    </row>
    <row r="29" spans="1:11" x14ac:dyDescent="0.2">
      <c r="A29" s="24" t="str">
        <f>VLOOKUP("&lt;Zeilentitel_17&gt;",Uebersetzungen!$B$4:$E$88,Uebersetzungen!$B$2+1,FALSE)</f>
        <v>Vals</v>
      </c>
      <c r="B29" s="5"/>
      <c r="C29" s="51">
        <v>6601</v>
      </c>
      <c r="D29" s="52">
        <v>7408</v>
      </c>
      <c r="E29" s="53">
        <f t="shared" si="0"/>
        <v>-0.10893628509719222</v>
      </c>
      <c r="F29" s="54">
        <v>-8.9768339768339755E-2</v>
      </c>
      <c r="G29" s="101"/>
      <c r="H29" s="102"/>
      <c r="I29" s="103"/>
      <c r="J29" s="104"/>
      <c r="K29" s="96"/>
    </row>
    <row r="30" spans="1:11" x14ac:dyDescent="0.2">
      <c r="A30" s="24" t="str">
        <f>VLOOKUP("&lt;Zeilentitel_18&gt;",Uebersetzungen!$B$4:$E$88,Uebersetzungen!$B$2+1,FALSE)</f>
        <v>Viamala</v>
      </c>
      <c r="B30" s="5"/>
      <c r="C30" s="51">
        <v>8524</v>
      </c>
      <c r="D30" s="52">
        <v>6772</v>
      </c>
      <c r="E30" s="53">
        <f t="shared" si="0"/>
        <v>0.25871234494979323</v>
      </c>
      <c r="F30" s="54">
        <v>0.39153715554394664</v>
      </c>
      <c r="G30" s="101"/>
      <c r="H30" s="102"/>
      <c r="I30" s="103"/>
      <c r="J30" s="104"/>
      <c r="K30" s="96"/>
    </row>
    <row r="31" spans="1:11" ht="13.5" thickBot="1" x14ac:dyDescent="0.25">
      <c r="A31" s="26" t="str">
        <f>VLOOKUP("&lt;Zeilentitel_19&gt;",Uebersetzungen!$B$4:$E$88,Uebersetzungen!$B$2+1,FALSE)</f>
        <v>Graubünden</v>
      </c>
      <c r="B31" s="25"/>
      <c r="C31" s="121">
        <v>731023</v>
      </c>
      <c r="D31" s="122">
        <v>722789</v>
      </c>
      <c r="E31" s="12">
        <f t="shared" si="0"/>
        <v>1.1391982999187977E-2</v>
      </c>
      <c r="F31" s="47">
        <v>0.17786337472536173</v>
      </c>
      <c r="G31" s="29"/>
      <c r="H31" s="102"/>
      <c r="I31" s="99"/>
      <c r="J31" s="99"/>
      <c r="K31" s="96"/>
    </row>
    <row r="32" spans="1:11" x14ac:dyDescent="0.2">
      <c r="C32" s="15"/>
      <c r="D32" s="16"/>
      <c r="E32" s="28"/>
      <c r="F32" s="27"/>
      <c r="H32" s="102"/>
      <c r="I32" s="15"/>
      <c r="J32" s="15"/>
    </row>
    <row r="33" spans="1:11" x14ac:dyDescent="0.2">
      <c r="A33" s="136" t="s">
        <v>635</v>
      </c>
      <c r="B33" s="136"/>
      <c r="C33" s="137"/>
      <c r="D33" s="138"/>
      <c r="E33" s="139"/>
      <c r="F33" s="140"/>
      <c r="H33" s="102"/>
      <c r="I33" s="15"/>
      <c r="J33" s="15"/>
    </row>
    <row r="34" spans="1:11" x14ac:dyDescent="0.2">
      <c r="C34" s="15"/>
      <c r="D34" s="16"/>
      <c r="E34" s="28"/>
      <c r="F34" s="27"/>
      <c r="H34" s="102"/>
      <c r="I34" s="15"/>
      <c r="J34" s="15"/>
    </row>
    <row r="35" spans="1:11" x14ac:dyDescent="0.2">
      <c r="A35" s="4" t="str">
        <f>VLOOKUP("&lt;Legende_1&gt;",Uebersetzungen!$B$4:$E$91,Uebersetzungen!$B$2+1,FALSE)</f>
        <v>Aktuelle Zuordnung der politischen Gemeinden zu Destinationen:</v>
      </c>
      <c r="E35" s="67" t="s">
        <v>186</v>
      </c>
      <c r="F35" s="49"/>
      <c r="H35" s="102"/>
    </row>
    <row r="36" spans="1:11" x14ac:dyDescent="0.2">
      <c r="H36" s="102"/>
    </row>
    <row r="37" spans="1:11" x14ac:dyDescent="0.2">
      <c r="C37" s="15"/>
      <c r="H37" s="102"/>
    </row>
    <row r="38" spans="1:11" ht="18" x14ac:dyDescent="0.25">
      <c r="A38" s="2" t="str">
        <f>VLOOKUP("&lt;Titel2&gt;",Uebersetzungen!$B$4:$E$31,Uebersetzungen!$B$2+1,FALSE)</f>
        <v>Hotel- und Kurbetriebe: Logiernächte im Januar 2026, nach Herkunft</v>
      </c>
      <c r="B38" s="3"/>
      <c r="C38" s="3"/>
      <c r="D38" s="3"/>
      <c r="E38" s="3"/>
      <c r="F38" s="3"/>
      <c r="H38" s="102"/>
    </row>
    <row r="39" spans="1:11" s="119" customFormat="1" x14ac:dyDescent="0.2">
      <c r="A39" s="116" t="str">
        <f>VLOOKUP("&lt;Titelprov&gt;",Uebersetzungen!$B$4:$E$315,Uebersetzungen!$B$2+1,FALSE)</f>
        <v>provisorische Ergebnisse</v>
      </c>
      <c r="B39" s="117"/>
      <c r="C39" s="118"/>
      <c r="D39" s="118"/>
      <c r="E39" s="118"/>
      <c r="F39" s="118"/>
      <c r="G39" s="118"/>
      <c r="H39" s="102"/>
    </row>
    <row r="40" spans="1:11" ht="13.5" thickBot="1" x14ac:dyDescent="0.25">
      <c r="G40" s="96"/>
      <c r="H40" s="102"/>
      <c r="I40" s="96"/>
      <c r="J40" s="96"/>
      <c r="K40" s="96"/>
    </row>
    <row r="41" spans="1:11" ht="51" customHeight="1" x14ac:dyDescent="0.2">
      <c r="A41" s="8"/>
      <c r="B41" s="9"/>
      <c r="C41" s="20" t="str">
        <f>VLOOKUP("&lt;SpaltenTitel_1&gt;",Uebersetzungen!$B$4:$E$34,Uebersetzungen!$B$2+1,FALSE)</f>
        <v>Januar 2026</v>
      </c>
      <c r="D41" s="21" t="str">
        <f>VLOOKUP("&lt;SpaltenTitel_2&gt;",Uebersetzungen!$B$4:$E$34,Uebersetzungen!$B$2+1,FALSE)</f>
        <v>Januar 2025</v>
      </c>
      <c r="E41" s="22" t="str">
        <f>VLOOKUP("&lt;SpaltenTitel_3&gt;",Uebersetzungen!$B$4:$E$34,Uebersetzungen!$B$2+1,FALSE)</f>
        <v>Veränderung 26/25 in %</v>
      </c>
      <c r="F41" s="23" t="str">
        <f>VLOOKUP("&lt;SpaltenTitel_4&gt;",Uebersetzungen!$B$4:$E$34,Uebersetzungen!$B$2+1,FALSE)</f>
        <v>Veränderung zum
5-Jahresmittel 
in %</v>
      </c>
      <c r="G41" s="97"/>
      <c r="H41" s="102"/>
      <c r="I41" s="97"/>
      <c r="J41" s="97"/>
      <c r="K41" s="96"/>
    </row>
    <row r="42" spans="1:11" x14ac:dyDescent="0.2">
      <c r="A42" s="24" t="str">
        <f>VLOOKUP("&lt;Zeilentitel_20&gt;",Uebersetzungen!$B$4:$E$88,Uebersetzungen!$B$2+1,FALSE)</f>
        <v>Schweiz</v>
      </c>
      <c r="B42" s="5"/>
      <c r="C42" s="13">
        <v>433957</v>
      </c>
      <c r="D42" s="17">
        <v>446698</v>
      </c>
      <c r="E42" s="10">
        <f>C42/D42-1</f>
        <v>-2.8522626024741538E-2</v>
      </c>
      <c r="F42" s="44">
        <v>7.5779037880594702E-2</v>
      </c>
      <c r="G42" s="29"/>
      <c r="H42" s="102"/>
      <c r="I42" s="99"/>
      <c r="J42" s="100"/>
      <c r="K42" s="96"/>
    </row>
    <row r="43" spans="1:11" x14ac:dyDescent="0.2">
      <c r="A43" s="24" t="str">
        <f>VLOOKUP("&lt;Zeilentitel_21&gt;",Uebersetzungen!$B$4:$E$88,Uebersetzungen!$B$2+1,FALSE)</f>
        <v>Deutschland</v>
      </c>
      <c r="B43" s="5"/>
      <c r="C43" s="13">
        <v>95688</v>
      </c>
      <c r="D43" s="17">
        <v>96067</v>
      </c>
      <c r="E43" s="10">
        <f t="shared" ref="E43:E74" si="1">C43/D43-1</f>
        <v>-3.9451632714667673E-3</v>
      </c>
      <c r="F43" s="44">
        <v>0.16002608870645108</v>
      </c>
      <c r="G43" s="29"/>
      <c r="H43" s="102"/>
      <c r="I43" s="99"/>
      <c r="J43" s="100"/>
      <c r="K43" s="96"/>
    </row>
    <row r="44" spans="1:11" x14ac:dyDescent="0.2">
      <c r="A44" s="24" t="str">
        <f>VLOOKUP("&lt;Zeilentitel_22&gt;",Uebersetzungen!$B$4:$E$88,Uebersetzungen!$B$2+1,FALSE)</f>
        <v>Vereinigte Staaten</v>
      </c>
      <c r="B44" s="5"/>
      <c r="C44" s="13">
        <v>27900</v>
      </c>
      <c r="D44" s="17">
        <v>23768</v>
      </c>
      <c r="E44" s="10">
        <f t="shared" si="1"/>
        <v>0.17384718949848543</v>
      </c>
      <c r="F44" s="44">
        <v>0.94070755832556574</v>
      </c>
      <c r="G44" s="29"/>
      <c r="H44" s="102"/>
      <c r="I44" s="99"/>
      <c r="J44" s="100"/>
      <c r="K44" s="96"/>
    </row>
    <row r="45" spans="1:11" x14ac:dyDescent="0.2">
      <c r="A45" s="24" t="str">
        <f>VLOOKUP("&lt;Zeilentitel_23&gt;",Uebersetzungen!$B$4:$E$88,Uebersetzungen!$B$2+1,FALSE)</f>
        <v>Vereinigtes Königreich</v>
      </c>
      <c r="B45" s="5"/>
      <c r="C45" s="13">
        <v>23441</v>
      </c>
      <c r="D45" s="17">
        <v>23039</v>
      </c>
      <c r="E45" s="10">
        <f t="shared" si="1"/>
        <v>1.7448673987586316E-2</v>
      </c>
      <c r="F45" s="44">
        <v>0.39747701773003152</v>
      </c>
      <c r="G45" s="29"/>
      <c r="H45" s="102"/>
      <c r="I45" s="99"/>
      <c r="J45" s="100"/>
      <c r="K45" s="96"/>
    </row>
    <row r="46" spans="1:11" x14ac:dyDescent="0.2">
      <c r="A46" s="24" t="str">
        <f>VLOOKUP("&lt;Zeilentitel_24&gt;",Uebersetzungen!$B$4:$E$88,Uebersetzungen!$B$2+1,FALSE)</f>
        <v>Belgien</v>
      </c>
      <c r="B46" s="5"/>
      <c r="C46" s="13">
        <v>5324</v>
      </c>
      <c r="D46" s="17">
        <v>4700</v>
      </c>
      <c r="E46" s="10">
        <f t="shared" si="1"/>
        <v>0.13276595744680852</v>
      </c>
      <c r="F46" s="44">
        <v>4.1185903703993443E-2</v>
      </c>
      <c r="G46" s="29"/>
      <c r="H46" s="102"/>
      <c r="I46" s="99"/>
      <c r="J46" s="100"/>
      <c r="K46" s="96"/>
    </row>
    <row r="47" spans="1:11" x14ac:dyDescent="0.2">
      <c r="A47" s="24" t="str">
        <f>VLOOKUP("&lt;Zeilentitel_25&gt;",Uebersetzungen!$B$4:$E$88,Uebersetzungen!$B$2+1,FALSE)</f>
        <v>Niederlande</v>
      </c>
      <c r="B47" s="5"/>
      <c r="C47" s="13">
        <v>10140</v>
      </c>
      <c r="D47" s="17">
        <v>10069</v>
      </c>
      <c r="E47" s="10">
        <f t="shared" si="1"/>
        <v>7.0513457145695568E-3</v>
      </c>
      <c r="F47" s="44">
        <v>9.2719513772145268E-2</v>
      </c>
      <c r="G47" s="29"/>
      <c r="H47" s="102"/>
      <c r="I47" s="99"/>
      <c r="J47" s="100"/>
      <c r="K47" s="96"/>
    </row>
    <row r="48" spans="1:11" x14ac:dyDescent="0.2">
      <c r="A48" s="24" t="str">
        <f>VLOOKUP("&lt;Zeilentitel_26&gt;",Uebersetzungen!$B$4:$E$88,Uebersetzungen!$B$2+1,FALSE)</f>
        <v>Österreich</v>
      </c>
      <c r="B48" s="5"/>
      <c r="C48" s="13">
        <v>4055</v>
      </c>
      <c r="D48" s="17">
        <v>3957</v>
      </c>
      <c r="E48" s="10">
        <f t="shared" si="1"/>
        <v>2.4766237048268858E-2</v>
      </c>
      <c r="F48" s="44">
        <v>0.13034509672743488</v>
      </c>
      <c r="G48" s="29"/>
      <c r="H48" s="102"/>
      <c r="I48" s="99"/>
      <c r="J48" s="100"/>
      <c r="K48" s="96"/>
    </row>
    <row r="49" spans="1:11" x14ac:dyDescent="0.2">
      <c r="A49" s="24" t="str">
        <f>VLOOKUP("&lt;Zeilentitel_27&gt;",Uebersetzungen!$B$4:$E$88,Uebersetzungen!$B$2+1,FALSE)</f>
        <v>Italien</v>
      </c>
      <c r="B49" s="5"/>
      <c r="C49" s="13">
        <v>16794</v>
      </c>
      <c r="D49" s="17">
        <v>15337</v>
      </c>
      <c r="E49" s="10">
        <f t="shared" si="1"/>
        <v>9.4999021973006359E-2</v>
      </c>
      <c r="F49" s="44">
        <v>0.40721623569237986</v>
      </c>
      <c r="G49" s="29"/>
      <c r="H49" s="102"/>
      <c r="I49" s="99"/>
      <c r="J49" s="100"/>
      <c r="K49" s="96"/>
    </row>
    <row r="50" spans="1:11" x14ac:dyDescent="0.2">
      <c r="A50" s="24" t="str">
        <f>VLOOKUP("&lt;Zeilentitel_28&gt;",Uebersetzungen!$B$4:$E$88,Uebersetzungen!$B$2+1,FALSE)</f>
        <v>Frankreich</v>
      </c>
      <c r="B50" s="5"/>
      <c r="C50" s="13">
        <v>7771</v>
      </c>
      <c r="D50" s="17">
        <v>8238</v>
      </c>
      <c r="E50" s="10">
        <f t="shared" si="1"/>
        <v>-5.6688516630250096E-2</v>
      </c>
      <c r="F50" s="44">
        <v>0.2752724169620584</v>
      </c>
      <c r="G50" s="29"/>
      <c r="H50" s="102"/>
      <c r="I50" s="99"/>
      <c r="J50" s="100"/>
      <c r="K50" s="96"/>
    </row>
    <row r="51" spans="1:11" x14ac:dyDescent="0.2">
      <c r="A51" s="24" t="str">
        <f>VLOOKUP("&lt;Zeilentitel_29&gt;",Uebersetzungen!$B$4:$E$88,Uebersetzungen!$B$2+1,FALSE)</f>
        <v>Australien</v>
      </c>
      <c r="B51" s="5"/>
      <c r="C51" s="13">
        <v>5929</v>
      </c>
      <c r="D51" s="17">
        <v>5547</v>
      </c>
      <c r="E51" s="10">
        <f t="shared" si="1"/>
        <v>6.8866053722733023E-2</v>
      </c>
      <c r="F51" s="44">
        <v>0.62947287418237785</v>
      </c>
      <c r="G51" s="29"/>
      <c r="H51" s="102"/>
      <c r="I51" s="99"/>
      <c r="J51" s="100"/>
      <c r="K51" s="96"/>
    </row>
    <row r="52" spans="1:11" x14ac:dyDescent="0.2">
      <c r="A52" s="24" t="str">
        <f>VLOOKUP("&lt;Zeilentitel_30&gt;",Uebersetzungen!$B$4:$E$88,Uebersetzungen!$B$2+1,FALSE)</f>
        <v>Taiwan</v>
      </c>
      <c r="B52" s="5"/>
      <c r="C52" s="13">
        <v>170</v>
      </c>
      <c r="D52" s="17">
        <v>309</v>
      </c>
      <c r="E52" s="10">
        <f t="shared" si="1"/>
        <v>-0.44983818770226536</v>
      </c>
      <c r="F52" s="44">
        <v>0.13636363636363646</v>
      </c>
      <c r="G52" s="29"/>
      <c r="H52" s="102"/>
      <c r="I52" s="99"/>
      <c r="J52" s="100"/>
      <c r="K52" s="96"/>
    </row>
    <row r="53" spans="1:11" x14ac:dyDescent="0.2">
      <c r="A53" s="24" t="str">
        <f>VLOOKUP("&lt;Zeilentitel_31&gt;",Uebersetzungen!$B$4:$E$88,Uebersetzungen!$B$2+1,FALSE)</f>
        <v>Israel</v>
      </c>
      <c r="B53" s="5"/>
      <c r="C53" s="13">
        <v>2506</v>
      </c>
      <c r="D53" s="17">
        <v>2644</v>
      </c>
      <c r="E53" s="10">
        <f t="shared" si="1"/>
        <v>-5.2193645990922799E-2</v>
      </c>
      <c r="F53" s="44">
        <v>0.6057926438549277</v>
      </c>
      <c r="G53" s="29"/>
      <c r="H53" s="102"/>
      <c r="I53" s="99"/>
      <c r="J53" s="100"/>
      <c r="K53" s="96"/>
    </row>
    <row r="54" spans="1:11" x14ac:dyDescent="0.2">
      <c r="A54" s="24" t="str">
        <f>VLOOKUP("&lt;Zeilentitel_32&gt;",Uebersetzungen!$B$4:$E$88,Uebersetzungen!$B$2+1,FALSE)</f>
        <v>Kanada</v>
      </c>
      <c r="B54" s="5"/>
      <c r="C54" s="13">
        <v>2289</v>
      </c>
      <c r="D54" s="17">
        <v>2187</v>
      </c>
      <c r="E54" s="10">
        <f t="shared" si="1"/>
        <v>4.6639231824417093E-2</v>
      </c>
      <c r="F54" s="44">
        <v>0.38391777509068925</v>
      </c>
      <c r="G54" s="29"/>
      <c r="H54" s="102"/>
      <c r="I54" s="99"/>
      <c r="J54" s="100"/>
      <c r="K54" s="96"/>
    </row>
    <row r="55" spans="1:11" x14ac:dyDescent="0.2">
      <c r="A55" s="24" t="str">
        <f>VLOOKUP("&lt;Zeilentitel_33&gt;",Uebersetzungen!$B$4:$E$88,Uebersetzungen!$B$2+1,FALSE)</f>
        <v>Japan</v>
      </c>
      <c r="B55" s="5"/>
      <c r="C55" s="13">
        <v>1095</v>
      </c>
      <c r="D55" s="17">
        <v>1102</v>
      </c>
      <c r="E55" s="10">
        <f t="shared" si="1"/>
        <v>-6.3520871143375457E-3</v>
      </c>
      <c r="F55" s="44">
        <v>0.41253869969040236</v>
      </c>
      <c r="G55" s="29"/>
      <c r="H55" s="102"/>
      <c r="I55" s="99"/>
      <c r="J55" s="100"/>
      <c r="K55" s="96"/>
    </row>
    <row r="56" spans="1:11" x14ac:dyDescent="0.2">
      <c r="A56" s="24" t="str">
        <f>VLOOKUP("&lt;Zeilentitel_34&gt;",Uebersetzungen!$B$4:$E$88,Uebersetzungen!$B$2+1,FALSE)</f>
        <v>China</v>
      </c>
      <c r="B56" s="5"/>
      <c r="C56" s="13">
        <v>2096</v>
      </c>
      <c r="D56" s="17">
        <v>1895</v>
      </c>
      <c r="E56" s="10">
        <f t="shared" si="1"/>
        <v>0.10606860158311338</v>
      </c>
      <c r="F56" s="44">
        <v>1.2527944969905418</v>
      </c>
      <c r="G56" s="29"/>
      <c r="H56" s="102"/>
      <c r="I56" s="99"/>
      <c r="J56" s="100"/>
      <c r="K56" s="96"/>
    </row>
    <row r="57" spans="1:11" x14ac:dyDescent="0.2">
      <c r="A57" s="24" t="str">
        <f>VLOOKUP("&lt;Zeilentitel_35&gt;",Uebersetzungen!$B$4:$E$88,Uebersetzungen!$B$2+1,FALSE)</f>
        <v>Polen</v>
      </c>
      <c r="B57" s="5"/>
      <c r="C57" s="13">
        <v>10113</v>
      </c>
      <c r="D57" s="17">
        <v>4740</v>
      </c>
      <c r="E57" s="10">
        <f t="shared" si="1"/>
        <v>1.1335443037974682</v>
      </c>
      <c r="F57" s="44">
        <v>4.0132472127370811E-2</v>
      </c>
      <c r="G57" s="29"/>
      <c r="H57" s="102"/>
      <c r="I57" s="99"/>
      <c r="J57" s="100"/>
      <c r="K57" s="96"/>
    </row>
    <row r="58" spans="1:11" x14ac:dyDescent="0.2">
      <c r="A58" s="24" t="str">
        <f>VLOOKUP("&lt;Zeilentitel_36&gt;",Uebersetzungen!$B$4:$E$88,Uebersetzungen!$B$2+1,FALSE)</f>
        <v>Brasilien</v>
      </c>
      <c r="B58" s="5"/>
      <c r="C58" s="13">
        <v>14014</v>
      </c>
      <c r="D58" s="17">
        <v>12410</v>
      </c>
      <c r="E58" s="10">
        <f t="shared" si="1"/>
        <v>0.12925060435132951</v>
      </c>
      <c r="F58" s="44">
        <v>0.81256143618397214</v>
      </c>
      <c r="G58" s="29"/>
      <c r="H58" s="102"/>
      <c r="I58" s="99"/>
      <c r="J58" s="100"/>
      <c r="K58" s="96"/>
    </row>
    <row r="59" spans="1:11" x14ac:dyDescent="0.2">
      <c r="A59" s="24" t="str">
        <f>VLOOKUP("&lt;Zeilentitel_37&gt;",Uebersetzungen!$B$4:$E$88,Uebersetzungen!$B$2+1,FALSE)</f>
        <v>Indien</v>
      </c>
      <c r="B59" s="5"/>
      <c r="C59" s="13">
        <v>1695</v>
      </c>
      <c r="D59" s="17">
        <v>1951</v>
      </c>
      <c r="E59" s="10">
        <f t="shared" si="1"/>
        <v>-0.1312147616606868</v>
      </c>
      <c r="F59" s="44">
        <v>0.93847209515096064</v>
      </c>
      <c r="G59" s="29"/>
      <c r="H59" s="102"/>
      <c r="I59" s="99"/>
      <c r="J59" s="100"/>
      <c r="K59" s="96"/>
    </row>
    <row r="60" spans="1:11" x14ac:dyDescent="0.2">
      <c r="A60" s="24" t="str">
        <f>VLOOKUP("&lt;Zeilentitel_38&gt;",Uebersetzungen!$B$4:$E$88,Uebersetzungen!$B$2+1,FALSE)</f>
        <v>Tschechien</v>
      </c>
      <c r="B60" s="5"/>
      <c r="C60" s="13">
        <v>2698</v>
      </c>
      <c r="D60" s="17">
        <v>2364</v>
      </c>
      <c r="E60" s="10">
        <f t="shared" si="1"/>
        <v>0.1412859560067683</v>
      </c>
      <c r="F60" s="44">
        <v>9.2042418845624585E-2</v>
      </c>
      <c r="G60" s="29"/>
      <c r="H60" s="102"/>
      <c r="I60" s="99"/>
      <c r="J60" s="100"/>
      <c r="K60" s="96"/>
    </row>
    <row r="61" spans="1:11" x14ac:dyDescent="0.2">
      <c r="A61" s="24" t="str">
        <f>VLOOKUP("&lt;Zeilentitel_39&gt;",Uebersetzungen!$B$4:$E$88,Uebersetzungen!$B$2+1,FALSE)</f>
        <v>Schweden</v>
      </c>
      <c r="B61" s="5"/>
      <c r="C61" s="13">
        <v>2137</v>
      </c>
      <c r="D61" s="17">
        <v>2129</v>
      </c>
      <c r="E61" s="10">
        <f t="shared" si="1"/>
        <v>3.7576326914043889E-3</v>
      </c>
      <c r="F61" s="44">
        <v>0.30783353733170138</v>
      </c>
      <c r="G61" s="29"/>
      <c r="H61" s="102"/>
      <c r="I61" s="99"/>
      <c r="J61" s="100"/>
      <c r="K61" s="96"/>
    </row>
    <row r="62" spans="1:11" x14ac:dyDescent="0.2">
      <c r="A62" s="24" t="str">
        <f>VLOOKUP("&lt;Zeilentitel_40&gt;",Uebersetzungen!$B$4:$E$88,Uebersetzungen!$B$2+1,FALSE)</f>
        <v>Dänemark</v>
      </c>
      <c r="B62" s="5"/>
      <c r="C62" s="13">
        <v>1083</v>
      </c>
      <c r="D62" s="17">
        <v>1177</v>
      </c>
      <c r="E62" s="10">
        <f t="shared" si="1"/>
        <v>-7.9864061172472356E-2</v>
      </c>
      <c r="F62" s="44">
        <v>9.0195288906784743E-2</v>
      </c>
      <c r="G62" s="29"/>
      <c r="H62" s="102"/>
      <c r="I62" s="99"/>
      <c r="J62" s="100"/>
      <c r="K62" s="96"/>
    </row>
    <row r="63" spans="1:11" x14ac:dyDescent="0.2">
      <c r="A63" s="24" t="str">
        <f>VLOOKUP("&lt;Zeilentitel_41&gt;",Uebersetzungen!$B$4:$E$88,Uebersetzungen!$B$2+1,FALSE)</f>
        <v>Spanien</v>
      </c>
      <c r="B63" s="5"/>
      <c r="C63" s="13">
        <v>3643</v>
      </c>
      <c r="D63" s="17">
        <v>3011</v>
      </c>
      <c r="E63" s="10">
        <f t="shared" si="1"/>
        <v>0.20989704417137167</v>
      </c>
      <c r="F63" s="44">
        <v>0.83452512841172322</v>
      </c>
      <c r="G63" s="29"/>
      <c r="H63" s="102"/>
      <c r="I63" s="99"/>
      <c r="J63" s="100"/>
      <c r="K63" s="96"/>
    </row>
    <row r="64" spans="1:11" x14ac:dyDescent="0.2">
      <c r="A64" s="24" t="str">
        <f>VLOOKUP("&lt;Zeilentitel_42&gt;",Uebersetzungen!$B$4:$E$88,Uebersetzungen!$B$2+1,FALSE)</f>
        <v>Luxemburg</v>
      </c>
      <c r="B64" s="5"/>
      <c r="C64" s="13">
        <v>2520</v>
      </c>
      <c r="D64" s="17">
        <v>2477</v>
      </c>
      <c r="E64" s="10">
        <f t="shared" si="1"/>
        <v>1.7359709325797335E-2</v>
      </c>
      <c r="F64" s="44">
        <v>0.19988572516903158</v>
      </c>
      <c r="G64" s="29"/>
      <c r="H64" s="102"/>
      <c r="I64" s="99"/>
      <c r="J64" s="100"/>
      <c r="K64" s="96"/>
    </row>
    <row r="65" spans="1:11" x14ac:dyDescent="0.2">
      <c r="A65" s="24" t="str">
        <f>VLOOKUP("&lt;Zeilentitel_43&gt;",Uebersetzungen!$B$4:$E$88,Uebersetzungen!$B$2+1,FALSE)</f>
        <v>Vereinigte Arabische Emirate</v>
      </c>
      <c r="B65" s="5"/>
      <c r="C65" s="13">
        <v>3702</v>
      </c>
      <c r="D65" s="17">
        <v>2457</v>
      </c>
      <c r="E65" s="10">
        <f t="shared" si="1"/>
        <v>0.50671550671550669</v>
      </c>
      <c r="F65" s="44">
        <v>2.1072687594426722</v>
      </c>
      <c r="G65" s="29"/>
      <c r="H65" s="102"/>
      <c r="I65" s="99"/>
      <c r="J65" s="100"/>
      <c r="K65" s="96"/>
    </row>
    <row r="66" spans="1:11" x14ac:dyDescent="0.2">
      <c r="A66" s="24"/>
      <c r="B66" s="5"/>
      <c r="C66" s="13"/>
      <c r="D66" s="17"/>
      <c r="E66" s="10"/>
      <c r="F66" s="44"/>
      <c r="G66" s="29"/>
      <c r="H66" s="102"/>
      <c r="I66" s="99"/>
      <c r="J66" s="100"/>
      <c r="K66" s="96"/>
    </row>
    <row r="67" spans="1:11" x14ac:dyDescent="0.2">
      <c r="A67" s="123" t="str">
        <f>VLOOKUP("&lt;Zeilentitel_44&gt;",Uebersetzungen!$B$4:$E$88,Uebersetzungen!$B$2+1,FALSE)</f>
        <v>Weitere Ländergruppen:</v>
      </c>
      <c r="B67" s="5"/>
      <c r="C67" s="13"/>
      <c r="D67" s="17"/>
      <c r="E67" s="10"/>
      <c r="F67" s="44"/>
      <c r="G67" s="29"/>
      <c r="H67" s="102"/>
      <c r="I67" s="99"/>
      <c r="J67" s="100"/>
      <c r="K67" s="96"/>
    </row>
    <row r="68" spans="1:11" x14ac:dyDescent="0.2">
      <c r="A68" s="24" t="str">
        <f>VLOOKUP("&lt;Zeilentitel_44.1&gt;",Uebersetzungen!$B$4:$E$88,Uebersetzungen!$B$2+1,FALSE)</f>
        <v>übrige Golfstaaten</v>
      </c>
      <c r="B68" s="5"/>
      <c r="C68" s="13">
        <v>4117</v>
      </c>
      <c r="D68" s="17">
        <v>4058</v>
      </c>
      <c r="E68" s="10">
        <f t="shared" si="1"/>
        <v>1.453918186298675E-2</v>
      </c>
      <c r="F68" s="44">
        <v>1.184548445293431</v>
      </c>
      <c r="G68" s="29"/>
      <c r="H68" s="102"/>
      <c r="I68" s="99"/>
      <c r="J68" s="100"/>
      <c r="K68" s="96"/>
    </row>
    <row r="69" spans="1:11" x14ac:dyDescent="0.2">
      <c r="A69" s="24" t="str">
        <f>VLOOKUP("&lt;Zeilentitel_44.2&gt;",Uebersetzungen!$B$4:$E$88,Uebersetzungen!$B$2+1,FALSE)</f>
        <v>übriges West- und Nordeuropa</v>
      </c>
      <c r="B69" s="5"/>
      <c r="C69" s="13">
        <v>8297</v>
      </c>
      <c r="D69" s="17">
        <v>7309</v>
      </c>
      <c r="E69" s="10">
        <f t="shared" si="1"/>
        <v>0.13517581064441098</v>
      </c>
      <c r="F69" s="44">
        <v>0.61527080169762094</v>
      </c>
      <c r="G69" s="29"/>
      <c r="H69" s="102"/>
      <c r="I69" s="99"/>
      <c r="J69" s="100"/>
      <c r="K69" s="96"/>
    </row>
    <row r="70" spans="1:11" x14ac:dyDescent="0.2">
      <c r="A70" s="24" t="str">
        <f>VLOOKUP("&lt;Zeilentitel_44.3&gt;",Uebersetzungen!$B$4:$E$88,Uebersetzungen!$B$2+1,FALSE)</f>
        <v>übriges Südostasien</v>
      </c>
      <c r="B70" s="5"/>
      <c r="C70" s="13">
        <v>5803</v>
      </c>
      <c r="D70" s="17">
        <v>6365</v>
      </c>
      <c r="E70" s="10">
        <f t="shared" si="1"/>
        <v>-8.8295365278868831E-2</v>
      </c>
      <c r="F70" s="44">
        <v>0.3615034489230915</v>
      </c>
      <c r="G70" s="29"/>
      <c r="H70" s="102"/>
      <c r="I70" s="99"/>
      <c r="J70" s="100"/>
      <c r="K70" s="96"/>
    </row>
    <row r="71" spans="1:11" x14ac:dyDescent="0.2">
      <c r="A71" s="24" t="str">
        <f>VLOOKUP("&lt;Zeilentitel_44.4&gt;",Uebersetzungen!$B$4:$E$88,Uebersetzungen!$B$2+1,FALSE)</f>
        <v>übriges Osteuropa</v>
      </c>
      <c r="B71" s="5"/>
      <c r="C71" s="13">
        <v>12850</v>
      </c>
      <c r="D71" s="17">
        <v>11138</v>
      </c>
      <c r="E71" s="10">
        <f t="shared" si="1"/>
        <v>0.15370802657568694</v>
      </c>
      <c r="F71" s="44">
        <v>0.28179551122194524</v>
      </c>
      <c r="G71" s="29"/>
      <c r="H71" s="102"/>
      <c r="I71" s="99"/>
      <c r="J71" s="100"/>
      <c r="K71" s="96"/>
    </row>
    <row r="72" spans="1:11" x14ac:dyDescent="0.2">
      <c r="A72" s="24" t="str">
        <f>VLOOKUP("&lt;Zeilentitel_44.5&gt;",Uebersetzungen!$B$4:$E$88,Uebersetzungen!$B$2+1,FALSE)</f>
        <v>übriges Zentral- und Südamerika</v>
      </c>
      <c r="B72" s="5"/>
      <c r="C72" s="13">
        <v>4590</v>
      </c>
      <c r="D72" s="17">
        <v>4663</v>
      </c>
      <c r="E72" s="10">
        <f t="shared" si="1"/>
        <v>-1.5655157623847282E-2</v>
      </c>
      <c r="F72" s="44">
        <v>0.87011082138200768</v>
      </c>
      <c r="G72" s="29"/>
      <c r="H72" s="102"/>
      <c r="I72" s="99"/>
      <c r="J72" s="100"/>
      <c r="K72" s="96"/>
    </row>
    <row r="73" spans="1:11" x14ac:dyDescent="0.2">
      <c r="A73" s="24" t="str">
        <f>VLOOKUP("&lt;Zeilentitel_44.6&gt;",Uebersetzungen!$B$4:$E$88,Uebersetzungen!$B$2+1,FALSE)</f>
        <v>Afrikanischer Kontinent</v>
      </c>
      <c r="B73" s="5"/>
      <c r="C73" s="13">
        <v>5117</v>
      </c>
      <c r="D73" s="17">
        <v>1985</v>
      </c>
      <c r="E73" s="10">
        <f t="shared" si="1"/>
        <v>1.5778337531486146</v>
      </c>
      <c r="F73" s="44">
        <v>2.5984528832630098</v>
      </c>
      <c r="G73" s="29"/>
      <c r="H73" s="102"/>
      <c r="I73" s="99"/>
      <c r="J73" s="100"/>
      <c r="K73" s="96"/>
    </row>
    <row r="74" spans="1:11" x14ac:dyDescent="0.2">
      <c r="A74" s="24" t="str">
        <f>VLOOKUP("&lt;Zeilentitel_44.7&gt;",Uebersetzungen!$B$4:$E$88,Uebersetzungen!$B$2+1,FALSE)</f>
        <v>Südosteuropa</v>
      </c>
      <c r="B74" s="5"/>
      <c r="C74" s="13">
        <v>9489</v>
      </c>
      <c r="D74" s="17">
        <v>8998</v>
      </c>
      <c r="E74" s="10">
        <f t="shared" si="1"/>
        <v>5.4567681707045956E-2</v>
      </c>
      <c r="F74" s="44">
        <v>0.89673782681698233</v>
      </c>
      <c r="G74" s="29"/>
      <c r="H74" s="102"/>
      <c r="I74" s="99"/>
      <c r="J74" s="100"/>
      <c r="K74" s="96"/>
    </row>
    <row r="75" spans="1:11" x14ac:dyDescent="0.2">
      <c r="A75" s="24" t="str">
        <f>VLOOKUP("&lt;Zeilentitel_44.8&gt;",Uebersetzungen!$B$4:$E$88,Uebersetzungen!$B$2+1,FALSE)</f>
        <v>übrige Herkunftsländer</v>
      </c>
      <c r="B75" s="7"/>
      <c r="C75" s="14">
        <v>0</v>
      </c>
      <c r="D75" s="18">
        <v>0</v>
      </c>
      <c r="E75" s="11" t="s">
        <v>42</v>
      </c>
      <c r="F75" s="46" t="s">
        <v>42</v>
      </c>
      <c r="G75" s="29"/>
      <c r="H75" s="102"/>
      <c r="I75" s="99"/>
      <c r="J75" s="100"/>
      <c r="K75" s="96"/>
    </row>
    <row r="76" spans="1:11" ht="13.5" thickBot="1" x14ac:dyDescent="0.25">
      <c r="A76" s="26" t="str">
        <f>VLOOKUP("&lt;Zeilentitel_48&gt;",Uebersetzungen!$B$4:$E$88,Uebersetzungen!$B$2+1,FALSE)</f>
        <v>Graubünden</v>
      </c>
      <c r="B76" s="6"/>
      <c r="C76" s="30">
        <v>731023</v>
      </c>
      <c r="D76" s="40">
        <v>722789</v>
      </c>
      <c r="E76" s="65">
        <f>C76/D76-1</f>
        <v>1.1391982999187977E-2</v>
      </c>
      <c r="F76" s="66">
        <v>0.17786337472536173</v>
      </c>
      <c r="G76" s="29"/>
      <c r="H76" s="102"/>
      <c r="I76" s="37"/>
      <c r="J76" s="37"/>
      <c r="K76" s="96"/>
    </row>
    <row r="77" spans="1:11" x14ac:dyDescent="0.2">
      <c r="G77" s="96"/>
      <c r="H77" s="96"/>
      <c r="I77" s="96"/>
      <c r="J77" s="96"/>
      <c r="K77" s="96"/>
    </row>
    <row r="78" spans="1:11" x14ac:dyDescent="0.2">
      <c r="A78" s="4" t="str">
        <f>VLOOKUP("&lt;Legende_1.1&gt;",Uebersetzungen!$B$4:$E$91,Uebersetzungen!$B$2+1,FALSE)</f>
        <v>Aktuelle Zuordnung der übrigen Länder zu den Ländergruppen:</v>
      </c>
      <c r="E78" s="67" t="s">
        <v>579</v>
      </c>
      <c r="F78" s="49"/>
    </row>
    <row r="80" spans="1:11" ht="10.5" customHeight="1" x14ac:dyDescent="0.2"/>
    <row r="81" spans="1:11" ht="18" x14ac:dyDescent="0.25">
      <c r="A81" s="2" t="str">
        <f>VLOOKUP("&lt;Titel3&gt;",Uebersetzungen!$B$4:$E$31,Uebersetzungen!$B$2+1,FALSE)</f>
        <v>Hotel- und Kurbetriebe: Logiernächte im Januar 2026, nach Schweizer Tourismusregionen</v>
      </c>
      <c r="B81" s="3"/>
      <c r="C81" s="3"/>
      <c r="D81" s="3"/>
      <c r="E81" s="3"/>
      <c r="F81" s="3"/>
    </row>
    <row r="82" spans="1:11" s="119" customFormat="1" x14ac:dyDescent="0.2">
      <c r="A82" s="116" t="str">
        <f>VLOOKUP("&lt;Titelprov&gt;",Uebersetzungen!$B$4:$E$315,Uebersetzungen!$B$2+1,FALSE)</f>
        <v>provisorische Ergebnisse</v>
      </c>
      <c r="B82" s="117"/>
      <c r="C82" s="118"/>
      <c r="D82" s="118"/>
      <c r="E82" s="118"/>
      <c r="F82" s="118"/>
      <c r="G82" s="118"/>
    </row>
    <row r="83" spans="1:11" ht="18.75" customHeight="1" thickBot="1" x14ac:dyDescent="0.3">
      <c r="A83" s="50"/>
      <c r="G83" s="96"/>
      <c r="H83" s="96"/>
      <c r="I83" s="96"/>
      <c r="J83" s="96"/>
      <c r="K83" s="96"/>
    </row>
    <row r="84" spans="1:11" ht="51" customHeight="1" x14ac:dyDescent="0.2">
      <c r="A84" s="8"/>
      <c r="B84" s="9"/>
      <c r="C84" s="20" t="str">
        <f>VLOOKUP("&lt;SpaltenTitel_1&gt;",Uebersetzungen!$B$4:$E$34,Uebersetzungen!$B$2+1,FALSE)</f>
        <v>Januar 2026</v>
      </c>
      <c r="D84" s="21" t="str">
        <f>VLOOKUP("&lt;SpaltenTitel_2&gt;",Uebersetzungen!$B$4:$E$34,Uebersetzungen!$B$2+1,FALSE)</f>
        <v>Januar 2025</v>
      </c>
      <c r="E84" s="22" t="str">
        <f>VLOOKUP("&lt;SpaltenTitel_3&gt;",Uebersetzungen!$B$4:$E$34,Uebersetzungen!$B$2+1,FALSE)</f>
        <v>Veränderung 26/25 in %</v>
      </c>
      <c r="F84" s="23" t="str">
        <f>VLOOKUP("&lt;SpaltenTitel_4&gt;",Uebersetzungen!$B$4:$E$34,Uebersetzungen!$B$2+1,FALSE)</f>
        <v>Veränderung zum
5-Jahresmittel 
in %</v>
      </c>
      <c r="G84" s="97"/>
      <c r="H84" s="97"/>
      <c r="I84" s="97"/>
      <c r="J84" s="97"/>
      <c r="K84" s="96"/>
    </row>
    <row r="85" spans="1:11" x14ac:dyDescent="0.2">
      <c r="A85" s="24" t="str">
        <f>VLOOKUP("&lt;Zeilentitel_49&gt;",Uebersetzungen!$B$4:$E$88,Uebersetzungen!$B$2+1,FALSE)</f>
        <v>Aargau und Solothurn Region</v>
      </c>
      <c r="B85" s="5"/>
      <c r="C85" s="13">
        <v>69002</v>
      </c>
      <c r="D85" s="17">
        <v>73301</v>
      </c>
      <c r="E85" s="10">
        <f>C85/D85-1</f>
        <v>-5.8648585967449263E-2</v>
      </c>
      <c r="F85" s="44">
        <v>0.19992626753754439</v>
      </c>
      <c r="G85" s="29"/>
      <c r="H85" s="98"/>
      <c r="I85" s="99"/>
      <c r="J85" s="100"/>
      <c r="K85" s="96"/>
    </row>
    <row r="86" spans="1:11" x14ac:dyDescent="0.2">
      <c r="A86" s="24" t="str">
        <f>VLOOKUP("&lt;Zeilentitel_50&gt;",Uebersetzungen!$B$4:$E$88,Uebersetzungen!$B$2+1,FALSE)</f>
        <v>Basel Region</v>
      </c>
      <c r="B86" s="5"/>
      <c r="C86" s="13">
        <v>117925</v>
      </c>
      <c r="D86" s="17">
        <v>104289</v>
      </c>
      <c r="E86" s="10">
        <f t="shared" ref="E86:E98" si="2">C86/D86-1</f>
        <v>0.1307520447985886</v>
      </c>
      <c r="F86" s="44">
        <v>0.58164182267370879</v>
      </c>
      <c r="G86" s="29"/>
      <c r="H86" s="98"/>
      <c r="I86" s="99"/>
      <c r="J86" s="100"/>
      <c r="K86" s="96"/>
    </row>
    <row r="87" spans="1:11" x14ac:dyDescent="0.2">
      <c r="A87" s="24" t="str">
        <f>VLOOKUP("&lt;Zeilentitel_51&gt;",Uebersetzungen!$B$4:$E$88,Uebersetzungen!$B$2+1,FALSE)</f>
        <v>Bern Region</v>
      </c>
      <c r="B87" s="5"/>
      <c r="C87" s="13">
        <v>410371</v>
      </c>
      <c r="D87" s="17">
        <v>401977</v>
      </c>
      <c r="E87" s="10">
        <f t="shared" si="2"/>
        <v>2.0881791744303824E-2</v>
      </c>
      <c r="F87" s="44">
        <v>0.2325541022563582</v>
      </c>
      <c r="G87" s="29"/>
      <c r="H87" s="98"/>
      <c r="I87" s="99"/>
      <c r="J87" s="100"/>
      <c r="K87" s="96"/>
    </row>
    <row r="88" spans="1:11" x14ac:dyDescent="0.2">
      <c r="A88" s="24" t="str">
        <f>VLOOKUP("&lt;Zeilentitel_52&gt;",Uebersetzungen!$B$4:$E$88,Uebersetzungen!$B$2+1,FALSE)</f>
        <v>Fribourg Region</v>
      </c>
      <c r="B88" s="5"/>
      <c r="C88" s="13">
        <v>33357</v>
      </c>
      <c r="D88" s="17">
        <v>27685</v>
      </c>
      <c r="E88" s="10">
        <f t="shared" si="2"/>
        <v>0.20487628679790504</v>
      </c>
      <c r="F88" s="44">
        <v>0.42587843036676065</v>
      </c>
      <c r="G88" s="29"/>
      <c r="H88" s="98"/>
      <c r="I88" s="99"/>
      <c r="J88" s="100"/>
      <c r="K88" s="96"/>
    </row>
    <row r="89" spans="1:11" x14ac:dyDescent="0.2">
      <c r="A89" s="24" t="str">
        <f>VLOOKUP("&lt;Zeilentitel_53&gt;",Uebersetzungen!$B$4:$E$88,Uebersetzungen!$B$2+1,FALSE)</f>
        <v>Genf</v>
      </c>
      <c r="B89" s="5"/>
      <c r="C89" s="13">
        <v>285602</v>
      </c>
      <c r="D89" s="17">
        <v>268402</v>
      </c>
      <c r="E89" s="10">
        <f t="shared" si="2"/>
        <v>6.4082980007600598E-2</v>
      </c>
      <c r="F89" s="44">
        <v>0.57608473713894082</v>
      </c>
      <c r="G89" s="29"/>
      <c r="H89" s="98"/>
      <c r="I89" s="99"/>
      <c r="J89" s="100"/>
      <c r="K89" s="96"/>
    </row>
    <row r="90" spans="1:11" x14ac:dyDescent="0.2">
      <c r="A90" s="106" t="str">
        <f>VLOOKUP("&lt;Zeilentitel_54&gt;",Uebersetzungen!$B$4:$E$88,Uebersetzungen!$B$2+1,FALSE)</f>
        <v>Graubünden</v>
      </c>
      <c r="B90" s="60"/>
      <c r="C90" s="61">
        <v>731023</v>
      </c>
      <c r="D90" s="62">
        <v>722789</v>
      </c>
      <c r="E90" s="63">
        <f t="shared" si="2"/>
        <v>1.1391982999187977E-2</v>
      </c>
      <c r="F90" s="64">
        <v>0.17786337472536173</v>
      </c>
      <c r="G90" s="29"/>
      <c r="H90" s="98"/>
      <c r="I90" s="99"/>
      <c r="J90" s="100"/>
      <c r="K90" s="96"/>
    </row>
    <row r="91" spans="1:11" x14ac:dyDescent="0.2">
      <c r="A91" s="24" t="str">
        <f>VLOOKUP("&lt;Zeilentitel_55&gt;",Uebersetzungen!$B$4:$E$88,Uebersetzungen!$B$2+1,FALSE)</f>
        <v>Jura &amp; Drei-Seen-Land</v>
      </c>
      <c r="B91" s="5"/>
      <c r="C91" s="13">
        <v>26779</v>
      </c>
      <c r="D91" s="17">
        <v>29050</v>
      </c>
      <c r="E91" s="10">
        <f t="shared" si="2"/>
        <v>-7.8175559380378679E-2</v>
      </c>
      <c r="F91" s="44">
        <v>9.6035624534433595E-2</v>
      </c>
      <c r="G91" s="29"/>
      <c r="H91" s="98"/>
      <c r="I91" s="99"/>
      <c r="J91" s="100"/>
      <c r="K91" s="96"/>
    </row>
    <row r="92" spans="1:11" x14ac:dyDescent="0.2">
      <c r="A92" s="24" t="str">
        <f>VLOOKUP("&lt;Zeilentitel_56&gt;",Uebersetzungen!$B$4:$E$88,Uebersetzungen!$B$2+1,FALSE)</f>
        <v>Luzern / Vierwaldstättersee</v>
      </c>
      <c r="B92" s="5"/>
      <c r="C92" s="13">
        <v>246601</v>
      </c>
      <c r="D92" s="17">
        <v>243333</v>
      </c>
      <c r="E92" s="10">
        <f t="shared" si="2"/>
        <v>1.3430155383774567E-2</v>
      </c>
      <c r="F92" s="44">
        <v>0.28982838970861291</v>
      </c>
      <c r="G92" s="29"/>
      <c r="H92" s="98"/>
      <c r="I92" s="99"/>
      <c r="J92" s="100"/>
      <c r="K92" s="96"/>
    </row>
    <row r="93" spans="1:11" x14ac:dyDescent="0.2">
      <c r="A93" s="24" t="str">
        <f>VLOOKUP("&lt;Zeilentitel_57&gt;",Uebersetzungen!$B$4:$E$88,Uebersetzungen!$B$2+1,FALSE)</f>
        <v>Ostschweiz</v>
      </c>
      <c r="B93" s="5"/>
      <c r="C93" s="13">
        <v>129696</v>
      </c>
      <c r="D93" s="17">
        <v>121964</v>
      </c>
      <c r="E93" s="10">
        <f t="shared" si="2"/>
        <v>6.3395756124758229E-2</v>
      </c>
      <c r="F93" s="44">
        <v>0.25630837364557646</v>
      </c>
      <c r="G93" s="29"/>
      <c r="H93" s="98"/>
      <c r="I93" s="99"/>
      <c r="J93" s="100"/>
      <c r="K93" s="96"/>
    </row>
    <row r="94" spans="1:11" x14ac:dyDescent="0.2">
      <c r="A94" s="24" t="str">
        <f>VLOOKUP("&lt;Zeilentitel_58&gt;",Uebersetzungen!$B$4:$E$88,Uebersetzungen!$B$2+1,FALSE)</f>
        <v>Tessin</v>
      </c>
      <c r="B94" s="5"/>
      <c r="C94" s="13">
        <v>65907</v>
      </c>
      <c r="D94" s="17">
        <v>62270</v>
      </c>
      <c r="E94" s="10">
        <f t="shared" si="2"/>
        <v>5.8406937530110836E-2</v>
      </c>
      <c r="F94" s="44">
        <v>0.19334045519563992</v>
      </c>
      <c r="G94" s="29"/>
      <c r="H94" s="98"/>
      <c r="I94" s="99"/>
      <c r="J94" s="100"/>
      <c r="K94" s="96"/>
    </row>
    <row r="95" spans="1:11" x14ac:dyDescent="0.2">
      <c r="A95" s="24" t="str">
        <f>VLOOKUP("&lt;Zeilentitel_59&gt;",Uebersetzungen!$B$4:$E$88,Uebersetzungen!$B$2+1,FALSE)</f>
        <v>Waadt</v>
      </c>
      <c r="B95" s="5"/>
      <c r="C95" s="13">
        <v>188290</v>
      </c>
      <c r="D95" s="17">
        <v>184591</v>
      </c>
      <c r="E95" s="10">
        <f t="shared" si="2"/>
        <v>2.0038896804286166E-2</v>
      </c>
      <c r="F95" s="44">
        <v>0.28936963390366266</v>
      </c>
      <c r="G95" s="29"/>
      <c r="H95" s="98"/>
      <c r="I95" s="99"/>
      <c r="J95" s="100"/>
      <c r="K95" s="96"/>
    </row>
    <row r="96" spans="1:11" x14ac:dyDescent="0.2">
      <c r="A96" s="24" t="str">
        <f>VLOOKUP("&lt;Zeilentitel_60&gt;",Uebersetzungen!$B$4:$E$88,Uebersetzungen!$B$2+1,FALSE)</f>
        <v>Wallis</v>
      </c>
      <c r="B96" s="5"/>
      <c r="C96" s="32">
        <v>477637</v>
      </c>
      <c r="D96" s="17">
        <v>474701</v>
      </c>
      <c r="E96" s="33">
        <f t="shared" si="2"/>
        <v>6.1849458922564882E-3</v>
      </c>
      <c r="F96" s="44">
        <v>0.16576442448501405</v>
      </c>
      <c r="G96" s="29"/>
      <c r="H96" s="98"/>
      <c r="I96" s="99"/>
      <c r="J96" s="100"/>
      <c r="K96" s="96"/>
    </row>
    <row r="97" spans="1:11" x14ac:dyDescent="0.2">
      <c r="A97" s="24" t="str">
        <f>VLOOKUP("&lt;Zeilentitel_61&gt;",Uebersetzungen!$B$4:$E$88,Uebersetzungen!$B$2+1,FALSE)</f>
        <v>Zürich Region</v>
      </c>
      <c r="B97" s="7"/>
      <c r="C97" s="42">
        <v>500856</v>
      </c>
      <c r="D97" s="18">
        <v>484097</v>
      </c>
      <c r="E97" s="43">
        <f t="shared" si="2"/>
        <v>3.4619094933453498E-2</v>
      </c>
      <c r="F97" s="48">
        <v>0.50976656699141509</v>
      </c>
      <c r="G97" s="29"/>
      <c r="H97" s="98"/>
      <c r="I97" s="99"/>
      <c r="J97" s="99"/>
      <c r="K97" s="96"/>
    </row>
    <row r="98" spans="1:11" ht="13.5" thickBot="1" x14ac:dyDescent="0.25">
      <c r="A98" s="71" t="str">
        <f>VLOOKUP("&lt;Zeilentitel_62&gt;",Uebersetzungen!$B$4:$E$88,Uebersetzungen!$B$2+1,FALSE)</f>
        <v>Schweiz</v>
      </c>
      <c r="B98" s="39"/>
      <c r="C98" s="30">
        <v>3283046</v>
      </c>
      <c r="D98" s="40">
        <v>3198449</v>
      </c>
      <c r="E98" s="41">
        <f t="shared" si="2"/>
        <v>2.644938218492765E-2</v>
      </c>
      <c r="F98" s="45">
        <v>0.28654623801202983</v>
      </c>
      <c r="G98" s="29"/>
      <c r="H98" s="36"/>
      <c r="I98" s="37"/>
      <c r="J98" s="38"/>
      <c r="K98" s="96"/>
    </row>
    <row r="99" spans="1:11" x14ac:dyDescent="0.2">
      <c r="A99" s="34"/>
      <c r="B99" s="35"/>
      <c r="C99" s="29"/>
      <c r="D99" s="36"/>
      <c r="E99" s="37"/>
      <c r="F99" s="38"/>
      <c r="G99" s="96"/>
      <c r="H99" s="96"/>
      <c r="I99" s="96"/>
      <c r="J99" s="96"/>
      <c r="K99" s="96"/>
    </row>
    <row r="100" spans="1:11" x14ac:dyDescent="0.2">
      <c r="A100" s="4" t="str">
        <f>VLOOKUP("&lt;Quelle_1&gt;",Uebersetzungen!$B$4:$E$97,Uebersetzungen!$B$2+1,FALSE)</f>
        <v>Quelle: BFS (HESTA)</v>
      </c>
    </row>
    <row r="101" spans="1:11" ht="12.75" customHeight="1" x14ac:dyDescent="0.2">
      <c r="A101" s="4" t="str">
        <f>VLOOKUP("&lt;Aktualisierung&gt;",Uebersetzungen!$B$4:$E$97,Uebersetzungen!$B$2+1,FALSE)</f>
        <v>Letztmals aktualisiert am: 09.03.2026</v>
      </c>
    </row>
    <row r="102" spans="1:11" x14ac:dyDescent="0.2">
      <c r="A102" s="4" t="str">
        <f>VLOOKUP("&lt;Legende_2&gt;",Uebersetzungen!$B$4:$E$97,Uebersetzungen!$B$2+1,FALSE)</f>
        <v>Kontakt: Luzius Stricker, 081 257 23 74, luzius.stricker@awt.gr.ch</v>
      </c>
    </row>
    <row r="103" spans="1:11" x14ac:dyDescent="0.2">
      <c r="A103" s="31" t="str">
        <f>VLOOKUP("&lt;Legende_3&gt;",Uebersetzungen!$B$4:$E$97,Uebersetzungen!$B$2+1,FALSE)</f>
        <v>Daten des Februar 2026 erscheinen am 7. April 2026.</v>
      </c>
    </row>
    <row r="105" spans="1:11" x14ac:dyDescent="0.2">
      <c r="A105" s="4" t="s">
        <v>47</v>
      </c>
    </row>
  </sheetData>
  <sheetProtection sheet="1" objects="1" scenarios="1"/>
  <mergeCells count="1">
    <mergeCell ref="A7:D7"/>
  </mergeCells>
  <hyperlinks>
    <hyperlink ref="E35" r:id="rId1" xr:uid="{00000000-0004-0000-0B00-000000000000}"/>
    <hyperlink ref="E78" location="Länder_Pajais_Paesi!A1" display="Länder / Pajais / Paese" xr:uid="{00000000-0004-0000-0B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7" max="9" man="1"/>
    <brk id="80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Option Button 1">
              <controlPr defaultSize="0" autoFill="0" autoLine="0" autoPict="0">
                <anchor moveWithCells="1">
                  <from>
                    <xdr:col>6</xdr:col>
                    <xdr:colOff>76200</xdr:colOff>
                    <xdr:row>1</xdr:row>
                    <xdr:rowOff>114300</xdr:rowOff>
                  </from>
                  <to>
                    <xdr:col>7</xdr:col>
                    <xdr:colOff>400050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Option Button 2">
              <controlPr defaultSize="0" autoFill="0" autoLine="0" autoPict="0">
                <anchor moveWithCells="1">
                  <from>
                    <xdr:col>6</xdr:col>
                    <xdr:colOff>76200</xdr:colOff>
                    <xdr:row>2</xdr:row>
                    <xdr:rowOff>104775</xdr:rowOff>
                  </from>
                  <to>
                    <xdr:col>8</xdr:col>
                    <xdr:colOff>47625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Option Button 3">
              <controlPr defaultSize="0" autoFill="0" autoLine="0" autoPict="0">
                <anchor moveWithCells="1">
                  <from>
                    <xdr:col>6</xdr:col>
                    <xdr:colOff>76200</xdr:colOff>
                    <xdr:row>3</xdr:row>
                    <xdr:rowOff>66675</xdr:rowOff>
                  </from>
                  <to>
                    <xdr:col>7</xdr:col>
                    <xdr:colOff>400050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92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3" width="42.140625" style="4" customWidth="1"/>
    <col min="4" max="4" width="13.28515625" style="4" customWidth="1"/>
    <col min="5" max="5" width="12.5703125" style="4" customWidth="1"/>
    <col min="6" max="6" width="15.5703125" style="4" bestFit="1" customWidth="1"/>
    <col min="7" max="7" width="11.28515625" style="4" bestFit="1" customWidth="1"/>
    <col min="8" max="8" width="10.7109375" style="4" bestFit="1" customWidth="1"/>
    <col min="9" max="9" width="12.5703125" style="4" customWidth="1"/>
    <col min="10" max="10" width="15.5703125" style="4" bestFit="1" customWidth="1"/>
    <col min="11" max="16384" width="11.42578125" style="4"/>
  </cols>
  <sheetData>
    <row r="1" spans="1:11" s="68" customFormat="1" x14ac:dyDescent="0.2"/>
    <row r="2" spans="1:11" s="68" customFormat="1" ht="15.75" x14ac:dyDescent="0.25">
      <c r="B2" s="69"/>
      <c r="C2" s="4"/>
      <c r="D2" s="4"/>
    </row>
    <row r="3" spans="1:11" s="68" customFormat="1" ht="15.75" x14ac:dyDescent="0.25">
      <c r="B3" s="69"/>
      <c r="C3" s="4"/>
      <c r="D3" s="4"/>
    </row>
    <row r="4" spans="1:11" s="68" customFormat="1" ht="15.75" x14ac:dyDescent="0.25">
      <c r="B4" s="69"/>
      <c r="C4" s="4"/>
      <c r="D4" s="4"/>
    </row>
    <row r="5" spans="1:11" s="68" customFormat="1" x14ac:dyDescent="0.2"/>
    <row r="6" spans="1:11" s="68" customFormat="1" x14ac:dyDescent="0.2"/>
    <row r="7" spans="1:11" ht="15.75" customHeight="1" x14ac:dyDescent="0.2">
      <c r="A7" s="131" t="str">
        <f>VLOOKUP("&lt;Fachbereich&gt;",Uebersetzungen!$B$4:$E$33,Uebersetzungen!$B$2+1,FALSE)</f>
        <v>Daten &amp; Statistik</v>
      </c>
      <c r="B7" s="131"/>
      <c r="C7" s="131"/>
      <c r="D7" s="131"/>
      <c r="E7" s="120"/>
      <c r="F7" s="1"/>
    </row>
    <row r="8" spans="1:11" ht="10.5" customHeight="1" x14ac:dyDescent="0.2"/>
    <row r="9" spans="1:11" ht="18" x14ac:dyDescent="0.25">
      <c r="A9" s="2" t="str">
        <f>VLOOKUP("&lt;T13Titel1&gt;",Uebersetzungen!$B$4:$E$432,Uebersetzungen!$B$2+1,FALSE)</f>
        <v>Aktuelle Zuordnung der übrigen Länder zu den Ländergruppen:</v>
      </c>
      <c r="B9" s="3"/>
      <c r="C9" s="3"/>
      <c r="D9" s="3"/>
      <c r="E9" s="3"/>
      <c r="F9" s="3"/>
    </row>
    <row r="10" spans="1:11" s="119" customFormat="1" x14ac:dyDescent="0.2">
      <c r="A10" s="116"/>
      <c r="B10" s="117"/>
      <c r="C10" s="118"/>
      <c r="D10" s="118"/>
      <c r="E10" s="118"/>
      <c r="F10" s="118"/>
      <c r="G10" s="118"/>
    </row>
    <row r="11" spans="1:11" ht="13.5" thickBot="1" x14ac:dyDescent="0.25">
      <c r="D11" s="96"/>
      <c r="E11" s="96"/>
      <c r="F11" s="96"/>
      <c r="G11" s="96"/>
      <c r="H11" s="96"/>
      <c r="I11" s="96"/>
      <c r="J11" s="96"/>
      <c r="K11" s="96"/>
    </row>
    <row r="12" spans="1:11" ht="51" customHeight="1" x14ac:dyDescent="0.2">
      <c r="A12" s="128" t="str">
        <f>VLOOKUP("&lt;T13SpaltenTitel_1&gt;",Uebersetzungen!$B$4:$E$435,Uebersetzungen!$B$2+1,FALSE)</f>
        <v>Land</v>
      </c>
      <c r="B12" s="9"/>
      <c r="C12" s="126" t="str">
        <f>VLOOKUP("&lt;T13SpaltenTitel_2&gt;",Uebersetzungen!$B$4:$E$435,Uebersetzungen!$B$2+1,FALSE)</f>
        <v>Ländergruppe</v>
      </c>
      <c r="D12" s="125"/>
      <c r="E12" s="97"/>
      <c r="F12" s="97"/>
      <c r="G12" s="97"/>
      <c r="H12" s="97"/>
      <c r="I12" s="97"/>
      <c r="J12" s="97"/>
      <c r="K12" s="96"/>
    </row>
    <row r="13" spans="1:11" x14ac:dyDescent="0.2">
      <c r="A13" s="24" t="str">
        <f>VLOOKUP("&lt;T13Zeilentitel_1&gt;",Uebersetzungen!$B$4:$E$588,Uebersetzungen!$B$2+1,FALSE)</f>
        <v>Ägypten</v>
      </c>
      <c r="B13" s="5"/>
      <c r="C13" s="127" t="str">
        <f>VLOOKUP("&lt;Zeilentitel_44.6&gt;",Uebersetzungen!$B$4:$E$88,Uebersetzungen!$B$2+1,FALSE)</f>
        <v>Afrikanischer Kontinent</v>
      </c>
      <c r="D13" s="98"/>
      <c r="E13" s="99"/>
      <c r="F13" s="130"/>
      <c r="G13" s="29"/>
      <c r="H13" s="98"/>
      <c r="I13" s="99"/>
      <c r="J13" s="100"/>
      <c r="K13" s="96"/>
    </row>
    <row r="14" spans="1:11" x14ac:dyDescent="0.2">
      <c r="A14" s="24" t="str">
        <f>VLOOKUP("&lt;T13Zeilentitel_2&gt;",Uebersetzungen!$B$4:$E$588,Uebersetzungen!$B$2+1,FALSE)</f>
        <v>Argentinien</v>
      </c>
      <c r="B14" s="5"/>
      <c r="C14" s="127" t="str">
        <f>VLOOKUP("&lt;Zeilentitel_44.5&gt;",Uebersetzungen!$B$4:$E$88,Uebersetzungen!$B$2+1,FALSE)</f>
        <v>übriges Zentral- und Südamerika</v>
      </c>
      <c r="D14" s="98"/>
      <c r="E14" s="99"/>
      <c r="F14" s="130"/>
      <c r="G14" s="29"/>
      <c r="H14" s="98"/>
      <c r="I14" s="99"/>
      <c r="J14" s="100"/>
      <c r="K14" s="96"/>
    </row>
    <row r="15" spans="1:11" x14ac:dyDescent="0.2">
      <c r="A15" s="24" t="str">
        <f>VLOOKUP("&lt;T13Zeilentitel_3&gt;",Uebersetzungen!$B$4:$E$588,Uebersetzungen!$B$2+1,FALSE)</f>
        <v>Australien</v>
      </c>
      <c r="B15" s="5"/>
      <c r="C15" s="127" t="str">
        <f>VLOOKUP("&lt;Zeilentitel_44.9&gt;",Uebersetzungen!$B$4:$E$88,Uebersetzungen!$B$2+1,FALSE)</f>
        <v>einzeln ausgewiesen</v>
      </c>
      <c r="D15" s="98"/>
      <c r="E15" s="99"/>
      <c r="F15" s="130"/>
      <c r="G15" s="29"/>
      <c r="H15" s="98"/>
      <c r="I15" s="99"/>
      <c r="J15" s="100"/>
      <c r="K15" s="96"/>
    </row>
    <row r="16" spans="1:11" x14ac:dyDescent="0.2">
      <c r="A16" s="24" t="str">
        <f>VLOOKUP("&lt;T13Zeilentitel_4&gt;",Uebersetzungen!$B$4:$E$588,Uebersetzungen!$B$2+1,FALSE)</f>
        <v>Bahrain</v>
      </c>
      <c r="B16" s="5"/>
      <c r="C16" s="127" t="str">
        <f>VLOOKUP("&lt;Zeilentitel_44.1&gt;",Uebersetzungen!$B$4:$E$88,Uebersetzungen!$B$2+1,FALSE)</f>
        <v>übrige Golfstaaten</v>
      </c>
      <c r="D16" s="98"/>
      <c r="E16" s="99"/>
      <c r="F16" s="130"/>
      <c r="G16" s="29"/>
      <c r="H16" s="98"/>
      <c r="I16" s="99"/>
      <c r="J16" s="100"/>
      <c r="K16" s="96"/>
    </row>
    <row r="17" spans="1:11" x14ac:dyDescent="0.2">
      <c r="A17" s="24" t="str">
        <f>VLOOKUP("&lt;T13Zeilentitel_5&gt;",Uebersetzungen!$B$4:$E$588,Uebersetzungen!$B$2+1,FALSE)</f>
        <v>Belarus</v>
      </c>
      <c r="B17" s="5"/>
      <c r="C17" s="127" t="str">
        <f>VLOOKUP("&lt;Zeilentitel_44.4&gt;",Uebersetzungen!$B$4:$E$88,Uebersetzungen!$B$2+1,FALSE)</f>
        <v>übriges Osteuropa</v>
      </c>
      <c r="D17" s="98"/>
      <c r="E17" s="99"/>
      <c r="F17" s="130"/>
      <c r="G17" s="29"/>
      <c r="H17" s="98"/>
      <c r="I17" s="99"/>
      <c r="J17" s="100"/>
      <c r="K17" s="96"/>
    </row>
    <row r="18" spans="1:11" x14ac:dyDescent="0.2">
      <c r="A18" s="24" t="str">
        <f>VLOOKUP("&lt;T13Zeilentitel_6&gt;",Uebersetzungen!$B$4:$E$588,Uebersetzungen!$B$2+1,FALSE)</f>
        <v>Belgien</v>
      </c>
      <c r="B18" s="5"/>
      <c r="C18" s="127" t="str">
        <f>VLOOKUP("&lt;Zeilentitel_44.9&gt;",Uebersetzungen!$B$4:$E$88,Uebersetzungen!$B$2+1,FALSE)</f>
        <v>einzeln ausgewiesen</v>
      </c>
      <c r="D18" s="98"/>
      <c r="E18" s="99"/>
      <c r="F18" s="130"/>
      <c r="G18" s="29"/>
      <c r="H18" s="98"/>
      <c r="I18" s="99"/>
      <c r="J18" s="100"/>
      <c r="K18" s="96"/>
    </row>
    <row r="19" spans="1:11" x14ac:dyDescent="0.2">
      <c r="A19" s="24" t="str">
        <f>VLOOKUP("&lt;T13Zeilentitel_7&gt;",Uebersetzungen!$B$4:$E$588,Uebersetzungen!$B$2+1,FALSE)</f>
        <v>Brasilien</v>
      </c>
      <c r="B19" s="5"/>
      <c r="C19" s="127" t="str">
        <f>VLOOKUP("&lt;Zeilentitel_44.9&gt;",Uebersetzungen!$B$4:$E$88,Uebersetzungen!$B$2+1,FALSE)</f>
        <v>einzeln ausgewiesen</v>
      </c>
      <c r="D19" s="98"/>
      <c r="E19" s="99"/>
      <c r="F19" s="130"/>
      <c r="G19" s="29"/>
      <c r="H19" s="98"/>
      <c r="I19" s="99"/>
      <c r="J19" s="100"/>
      <c r="K19" s="96"/>
    </row>
    <row r="20" spans="1:11" x14ac:dyDescent="0.2">
      <c r="A20" s="24" t="str">
        <f>VLOOKUP("&lt;T13Zeilentitel_8&gt;",Uebersetzungen!$B$4:$E$588,Uebersetzungen!$B$2+1,FALSE)</f>
        <v>Bulgarien</v>
      </c>
      <c r="B20" s="5"/>
      <c r="C20" s="127" t="str">
        <f>VLOOKUP("&lt;Zeilentitel_44.4&gt;",Uebersetzungen!$B$4:$E$88,Uebersetzungen!$B$2+1,FALSE)</f>
        <v>übriges Osteuropa</v>
      </c>
      <c r="D20" s="98"/>
      <c r="E20" s="99"/>
      <c r="F20" s="130"/>
      <c r="G20" s="29"/>
      <c r="H20" s="98"/>
      <c r="I20" s="99"/>
      <c r="J20" s="100"/>
      <c r="K20" s="96"/>
    </row>
    <row r="21" spans="1:11" x14ac:dyDescent="0.2">
      <c r="A21" s="24" t="str">
        <f>VLOOKUP("&lt;T13Zeilentitel_9&gt;",Uebersetzungen!$B$4:$E$588,Uebersetzungen!$B$2+1,FALSE)</f>
        <v>Chile</v>
      </c>
      <c r="B21" s="5"/>
      <c r="C21" s="127" t="str">
        <f>VLOOKUP("&lt;Zeilentitel_44.5&gt;",Uebersetzungen!$B$4:$E$88,Uebersetzungen!$B$2+1,FALSE)</f>
        <v>übriges Zentral- und Südamerika</v>
      </c>
      <c r="D21" s="98"/>
      <c r="E21" s="99"/>
      <c r="F21" s="130"/>
      <c r="G21" s="29"/>
      <c r="H21" s="98"/>
      <c r="I21" s="99"/>
      <c r="J21" s="100"/>
      <c r="K21" s="96"/>
    </row>
    <row r="22" spans="1:11" x14ac:dyDescent="0.2">
      <c r="A22" s="24" t="str">
        <f>VLOOKUP("&lt;T13Zeilentitel_10&gt;",Uebersetzungen!$B$4:$E$588,Uebersetzungen!$B$2+1,FALSE)</f>
        <v>China</v>
      </c>
      <c r="B22" s="5"/>
      <c r="C22" s="127" t="str">
        <f>VLOOKUP("&lt;Zeilentitel_44.9&gt;",Uebersetzungen!$B$4:$E$88,Uebersetzungen!$B$2+1,FALSE)</f>
        <v>einzeln ausgewiesen</v>
      </c>
      <c r="D22" s="98"/>
      <c r="E22" s="99"/>
      <c r="F22" s="130"/>
      <c r="G22" s="29"/>
      <c r="H22" s="98"/>
      <c r="I22" s="99"/>
      <c r="J22" s="100"/>
      <c r="K22" s="96"/>
    </row>
    <row r="23" spans="1:11" x14ac:dyDescent="0.2">
      <c r="A23" s="24" t="str">
        <f>VLOOKUP("&lt;T13Zeilentitel_11&gt;",Uebersetzungen!$B$4:$E$588,Uebersetzungen!$B$2+1,FALSE)</f>
        <v>Dänemark</v>
      </c>
      <c r="B23" s="5"/>
      <c r="C23" s="127" t="str">
        <f>VLOOKUP("&lt;Zeilentitel_44.9&gt;",Uebersetzungen!$B$4:$E$88,Uebersetzungen!$B$2+1,FALSE)</f>
        <v>einzeln ausgewiesen</v>
      </c>
      <c r="D23" s="98"/>
      <c r="E23" s="99"/>
      <c r="F23" s="100"/>
      <c r="G23" s="29"/>
      <c r="H23" s="98"/>
      <c r="I23" s="99"/>
      <c r="J23" s="100"/>
      <c r="K23" s="96"/>
    </row>
    <row r="24" spans="1:11" x14ac:dyDescent="0.2">
      <c r="A24" s="24" t="str">
        <f>VLOOKUP("&lt;T13Zeilentitel_12&gt;",Uebersetzungen!$B$4:$E$588,Uebersetzungen!$B$2+1,FALSE)</f>
        <v>Deutschland</v>
      </c>
      <c r="B24" s="5"/>
      <c r="C24" s="127" t="str">
        <f>VLOOKUP("&lt;Zeilentitel_44.9&gt;",Uebersetzungen!$B$4:$E$88,Uebersetzungen!$B$2+1,FALSE)</f>
        <v>einzeln ausgewiesen</v>
      </c>
      <c r="D24" s="98"/>
      <c r="E24" s="99"/>
      <c r="F24" s="100"/>
      <c r="G24" s="29"/>
      <c r="H24" s="98"/>
      <c r="I24" s="99"/>
      <c r="J24" s="100"/>
      <c r="K24" s="96"/>
    </row>
    <row r="25" spans="1:11" x14ac:dyDescent="0.2">
      <c r="A25" s="24" t="str">
        <f>VLOOKUP("&lt;T13Zeilentitel_13&gt;",Uebersetzungen!$B$4:$E$588,Uebersetzungen!$B$2+1,FALSE)</f>
        <v>Estland</v>
      </c>
      <c r="B25" s="5"/>
      <c r="C25" s="127" t="str">
        <f>VLOOKUP("&lt;Zeilentitel_44.4&gt;",Uebersetzungen!$B$4:$E$88,Uebersetzungen!$B$2+1,FALSE)</f>
        <v>übriges Osteuropa</v>
      </c>
      <c r="D25" s="98"/>
      <c r="E25" s="99"/>
      <c r="F25" s="100"/>
      <c r="G25" s="29"/>
      <c r="H25" s="98"/>
      <c r="I25" s="99"/>
      <c r="J25" s="100"/>
      <c r="K25" s="96"/>
    </row>
    <row r="26" spans="1:11" x14ac:dyDescent="0.2">
      <c r="A26" s="24" t="str">
        <f>VLOOKUP("&lt;T13Zeilentitel_14&gt;",Uebersetzungen!$B$4:$E$588,Uebersetzungen!$B$2+1,FALSE)</f>
        <v>Finnland</v>
      </c>
      <c r="B26" s="5"/>
      <c r="C26" s="127" t="str">
        <f>VLOOKUP("&lt;Zeilentitel_44.2&gt;",Uebersetzungen!$B$4:$E$88,Uebersetzungen!$B$2+1,FALSE)</f>
        <v>übriges West- und Nordeuropa</v>
      </c>
      <c r="D26" s="98"/>
      <c r="E26" s="99"/>
      <c r="F26" s="100"/>
      <c r="G26" s="29"/>
      <c r="H26" s="98"/>
      <c r="I26" s="99"/>
      <c r="J26" s="100"/>
      <c r="K26" s="96"/>
    </row>
    <row r="27" spans="1:11" x14ac:dyDescent="0.2">
      <c r="A27" s="24" t="str">
        <f>VLOOKUP("&lt;T13Zeilentitel_15&gt;",Uebersetzungen!$B$4:$E$588,Uebersetzungen!$B$2+1,FALSE)</f>
        <v>Frankreich</v>
      </c>
      <c r="B27" s="5"/>
      <c r="C27" s="127" t="str">
        <f>VLOOKUP("&lt;Zeilentitel_44.9&gt;",Uebersetzungen!$B$4:$E$88,Uebersetzungen!$B$2+1,FALSE)</f>
        <v>einzeln ausgewiesen</v>
      </c>
      <c r="D27" s="98"/>
      <c r="E27" s="99"/>
      <c r="F27" s="100"/>
      <c r="G27" s="29"/>
      <c r="H27" s="98"/>
      <c r="I27" s="99"/>
      <c r="J27" s="100"/>
      <c r="K27" s="96"/>
    </row>
    <row r="28" spans="1:11" x14ac:dyDescent="0.2">
      <c r="A28" s="24" t="str">
        <f>VLOOKUP("&lt;T13Zeilentitel_16&gt;",Uebersetzungen!$B$4:$E$588,Uebersetzungen!$B$2+1,FALSE)</f>
        <v>Griechenland</v>
      </c>
      <c r="B28" s="5"/>
      <c r="C28" s="127" t="str">
        <f>VLOOKUP("&lt;Zeilentitel_44.7&gt;",Uebersetzungen!$B$4:$E$88,Uebersetzungen!$B$2+1,FALSE)</f>
        <v>Südosteuropa</v>
      </c>
      <c r="D28" s="98"/>
      <c r="E28" s="99"/>
      <c r="F28" s="100"/>
      <c r="G28" s="29"/>
      <c r="H28" s="98"/>
      <c r="I28" s="99"/>
      <c r="J28" s="100"/>
      <c r="K28" s="96"/>
    </row>
    <row r="29" spans="1:11" x14ac:dyDescent="0.2">
      <c r="A29" s="24" t="str">
        <f>VLOOKUP("&lt;T13Zeilentitel_17&gt;",Uebersetzungen!$B$4:$E$588,Uebersetzungen!$B$2+1,FALSE)</f>
        <v>Hongkong</v>
      </c>
      <c r="B29" s="5"/>
      <c r="C29" s="127" t="str">
        <f>VLOOKUP("&lt;Zeilentitel_44.3&gt;",Uebersetzungen!$B$4:$E$88,Uebersetzungen!$B$2+1,FALSE)</f>
        <v>übriges Südostasien</v>
      </c>
      <c r="D29" s="98"/>
      <c r="E29" s="99"/>
      <c r="F29" s="100"/>
      <c r="G29" s="29"/>
      <c r="H29" s="98"/>
      <c r="I29" s="99"/>
      <c r="J29" s="100"/>
      <c r="K29" s="96"/>
    </row>
    <row r="30" spans="1:11" x14ac:dyDescent="0.2">
      <c r="A30" s="24" t="str">
        <f>VLOOKUP("&lt;T13Zeilentitel_18&gt;",Uebersetzungen!$B$4:$E$588,Uebersetzungen!$B$2+1,FALSE)</f>
        <v>Indien</v>
      </c>
      <c r="B30" s="5"/>
      <c r="C30" s="127" t="str">
        <f>VLOOKUP("&lt;Zeilentitel_44.9&gt;",Uebersetzungen!$B$4:$E$88,Uebersetzungen!$B$2+1,FALSE)</f>
        <v>einzeln ausgewiesen</v>
      </c>
      <c r="D30" s="98"/>
      <c r="E30" s="99"/>
      <c r="F30" s="100"/>
      <c r="G30" s="29"/>
      <c r="H30" s="98"/>
      <c r="I30" s="99"/>
      <c r="J30" s="100"/>
      <c r="K30" s="96"/>
    </row>
    <row r="31" spans="1:11" x14ac:dyDescent="0.2">
      <c r="A31" s="24" t="str">
        <f>VLOOKUP("&lt;T13Zeilentitel_19&gt;",Uebersetzungen!$B$4:$E$588,Uebersetzungen!$B$2+1,FALSE)</f>
        <v>Indonesien</v>
      </c>
      <c r="B31" s="5"/>
      <c r="C31" s="127" t="str">
        <f>VLOOKUP("&lt;Zeilentitel_44.3&gt;",Uebersetzungen!$B$4:$E$88,Uebersetzungen!$B$2+1,FALSE)</f>
        <v>übriges Südostasien</v>
      </c>
      <c r="D31" s="98"/>
      <c r="E31" s="99"/>
      <c r="F31" s="100"/>
      <c r="G31" s="29"/>
      <c r="H31" s="98"/>
      <c r="I31" s="99"/>
      <c r="J31" s="100"/>
      <c r="K31" s="96"/>
    </row>
    <row r="32" spans="1:11" x14ac:dyDescent="0.2">
      <c r="A32" s="24" t="str">
        <f>VLOOKUP("&lt;T13Zeilentitel_20&gt;",Uebersetzungen!$B$4:$E$588,Uebersetzungen!$B$2+1,FALSE)</f>
        <v>Iran</v>
      </c>
      <c r="B32" s="5"/>
      <c r="C32" s="127" t="str">
        <f>VLOOKUP("&lt;Zeilentitel_44.1&gt;",Uebersetzungen!$B$4:$E$88,Uebersetzungen!$B$2+1,FALSE)</f>
        <v>übrige Golfstaaten</v>
      </c>
      <c r="D32" s="98"/>
      <c r="E32" s="99"/>
      <c r="F32" s="100"/>
      <c r="G32" s="29"/>
      <c r="H32" s="98"/>
      <c r="I32" s="99"/>
      <c r="J32" s="100"/>
      <c r="K32" s="96"/>
    </row>
    <row r="33" spans="1:11" x14ac:dyDescent="0.2">
      <c r="A33" s="24" t="str">
        <f>VLOOKUP("&lt;T13Zeilentitel_21&gt;",Uebersetzungen!$B$4:$E$588,Uebersetzungen!$B$2+1,FALSE)</f>
        <v>Irland</v>
      </c>
      <c r="B33" s="5"/>
      <c r="C33" s="127" t="str">
        <f>VLOOKUP("&lt;Zeilentitel_44.2&gt;",Uebersetzungen!$B$4:$E$88,Uebersetzungen!$B$2+1,FALSE)</f>
        <v>übriges West- und Nordeuropa</v>
      </c>
      <c r="D33" s="98"/>
      <c r="E33" s="99"/>
      <c r="F33" s="100"/>
      <c r="G33" s="29"/>
      <c r="H33" s="98"/>
      <c r="I33" s="99"/>
      <c r="J33" s="100"/>
      <c r="K33" s="96"/>
    </row>
    <row r="34" spans="1:11" x14ac:dyDescent="0.2">
      <c r="A34" s="24" t="str">
        <f>VLOOKUP("&lt;T13Zeilentitel_22&gt;",Uebersetzungen!$B$4:$E$588,Uebersetzungen!$B$2+1,FALSE)</f>
        <v>Island</v>
      </c>
      <c r="B34" s="5"/>
      <c r="C34" s="127" t="str">
        <f>VLOOKUP("&lt;Zeilentitel_44.2&gt;",Uebersetzungen!$B$4:$E$88,Uebersetzungen!$B$2+1,FALSE)</f>
        <v>übriges West- und Nordeuropa</v>
      </c>
      <c r="D34" s="98"/>
      <c r="E34" s="99"/>
      <c r="F34" s="100"/>
      <c r="G34" s="29"/>
      <c r="H34" s="98"/>
      <c r="I34" s="99"/>
      <c r="J34" s="100"/>
      <c r="K34" s="96"/>
    </row>
    <row r="35" spans="1:11" x14ac:dyDescent="0.2">
      <c r="A35" s="24" t="str">
        <f>VLOOKUP("&lt;T13Zeilentitel_23&gt;",Uebersetzungen!$B$4:$E$588,Uebersetzungen!$B$2+1,FALSE)</f>
        <v>Israel</v>
      </c>
      <c r="B35" s="5"/>
      <c r="C35" s="127" t="str">
        <f>VLOOKUP("&lt;Zeilentitel_44.9&gt;",Uebersetzungen!$B$4:$E$88,Uebersetzungen!$B$2+1,FALSE)</f>
        <v>einzeln ausgewiesen</v>
      </c>
      <c r="D35" s="98"/>
      <c r="E35" s="99"/>
      <c r="F35" s="100"/>
      <c r="G35" s="29"/>
      <c r="H35" s="98"/>
      <c r="I35" s="99"/>
      <c r="J35" s="100"/>
      <c r="K35" s="96"/>
    </row>
    <row r="36" spans="1:11" x14ac:dyDescent="0.2">
      <c r="A36" s="24" t="str">
        <f>VLOOKUP("&lt;T13Zeilentitel_24&gt;",Uebersetzungen!$B$4:$E$588,Uebersetzungen!$B$2+1,FALSE)</f>
        <v>Italien</v>
      </c>
      <c r="B36" s="5"/>
      <c r="C36" s="127" t="str">
        <f>VLOOKUP("&lt;Zeilentitel_44.9&gt;",Uebersetzungen!$B$4:$E$88,Uebersetzungen!$B$2+1,FALSE)</f>
        <v>einzeln ausgewiesen</v>
      </c>
      <c r="D36" s="98"/>
      <c r="E36" s="99"/>
      <c r="F36" s="100"/>
      <c r="G36" s="29"/>
      <c r="H36" s="98"/>
      <c r="I36" s="99"/>
      <c r="J36" s="100"/>
      <c r="K36" s="96"/>
    </row>
    <row r="37" spans="1:11" x14ac:dyDescent="0.2">
      <c r="A37" s="24" t="str">
        <f>VLOOKUP("&lt;T13Zeilentitel_25&gt;",Uebersetzungen!$B$4:$E$588,Uebersetzungen!$B$2+1,FALSE)</f>
        <v>Japan</v>
      </c>
      <c r="B37" s="5"/>
      <c r="C37" s="127" t="str">
        <f>VLOOKUP("&lt;Zeilentitel_44.9&gt;",Uebersetzungen!$B$4:$E$88,Uebersetzungen!$B$2+1,FALSE)</f>
        <v>einzeln ausgewiesen</v>
      </c>
      <c r="D37" s="98"/>
      <c r="E37" s="99"/>
      <c r="F37" s="100"/>
      <c r="G37" s="29"/>
      <c r="H37" s="98"/>
      <c r="I37" s="99"/>
      <c r="J37" s="100"/>
      <c r="K37" s="96"/>
    </row>
    <row r="38" spans="1:11" x14ac:dyDescent="0.2">
      <c r="A38" s="24" t="str">
        <f>VLOOKUP("&lt;T13Zeilentitel_26&gt;",Uebersetzungen!$B$4:$E$588,Uebersetzungen!$B$2+1,FALSE)</f>
        <v>Kanada</v>
      </c>
      <c r="B38" s="5"/>
      <c r="C38" s="127" t="str">
        <f>VLOOKUP("&lt;Zeilentitel_44.9&gt;",Uebersetzungen!$B$4:$E$88,Uebersetzungen!$B$2+1,FALSE)</f>
        <v>einzeln ausgewiesen</v>
      </c>
      <c r="D38" s="98"/>
      <c r="E38" s="99"/>
      <c r="F38" s="100"/>
      <c r="G38" s="29"/>
      <c r="H38" s="98"/>
      <c r="I38" s="99"/>
      <c r="J38" s="100"/>
      <c r="K38" s="96"/>
    </row>
    <row r="39" spans="1:11" x14ac:dyDescent="0.2">
      <c r="A39" s="24" t="str">
        <f>VLOOKUP("&lt;T13Zeilentitel_27&gt;",Uebersetzungen!$B$4:$E$588,Uebersetzungen!$B$2+1,FALSE)</f>
        <v>Katar</v>
      </c>
      <c r="B39" s="5"/>
      <c r="C39" s="127" t="str">
        <f>VLOOKUP("&lt;Zeilentitel_44.1&gt;",Uebersetzungen!$B$4:$E$88,Uebersetzungen!$B$2+1,FALSE)</f>
        <v>übrige Golfstaaten</v>
      </c>
      <c r="D39" s="98"/>
      <c r="E39" s="99"/>
      <c r="F39" s="100"/>
      <c r="G39" s="29"/>
      <c r="H39" s="98"/>
      <c r="I39" s="99"/>
      <c r="J39" s="100"/>
      <c r="K39" s="96"/>
    </row>
    <row r="40" spans="1:11" x14ac:dyDescent="0.2">
      <c r="A40" s="24" t="str">
        <f>VLOOKUP("&lt;T13Zeilentitel_28&gt;",Uebersetzungen!$B$4:$E$588,Uebersetzungen!$B$2+1,FALSE)</f>
        <v>Korea (Süd-)</v>
      </c>
      <c r="B40" s="5"/>
      <c r="C40" s="127" t="str">
        <f>VLOOKUP("&lt;Zeilentitel_44.3&gt;",Uebersetzungen!$B$4:$E$88,Uebersetzungen!$B$2+1,FALSE)</f>
        <v>übriges Südostasien</v>
      </c>
      <c r="D40" s="98"/>
      <c r="E40" s="99"/>
      <c r="F40" s="100"/>
      <c r="G40" s="29"/>
      <c r="H40" s="98"/>
      <c r="I40" s="99"/>
      <c r="J40" s="100"/>
      <c r="K40" s="96"/>
    </row>
    <row r="41" spans="1:11" x14ac:dyDescent="0.2">
      <c r="A41" s="24" t="str">
        <f>VLOOKUP("&lt;T13Zeilentitel_29&gt;",Uebersetzungen!$B$4:$E$588,Uebersetzungen!$B$2+1,FALSE)</f>
        <v>Kroatien</v>
      </c>
      <c r="B41" s="5"/>
      <c r="C41" s="127" t="str">
        <f>VLOOKUP("&lt;Zeilentitel_44.7&gt;",Uebersetzungen!$B$4:$E$88,Uebersetzungen!$B$2+1,FALSE)</f>
        <v>Südosteuropa</v>
      </c>
      <c r="D41" s="98"/>
      <c r="E41" s="99"/>
      <c r="F41" s="100"/>
      <c r="G41" s="29"/>
      <c r="H41" s="98"/>
      <c r="I41" s="99"/>
      <c r="J41" s="100"/>
      <c r="K41" s="96"/>
    </row>
    <row r="42" spans="1:11" x14ac:dyDescent="0.2">
      <c r="A42" s="24" t="str">
        <f>VLOOKUP("&lt;T13Zeilentitel_30&gt;",Uebersetzungen!$B$4:$E$588,Uebersetzungen!$B$2+1,FALSE)</f>
        <v>Kuwait</v>
      </c>
      <c r="B42" s="5"/>
      <c r="C42" s="127" t="str">
        <f>VLOOKUP("&lt;Zeilentitel_44.1&gt;",Uebersetzungen!$B$4:$E$88,Uebersetzungen!$B$2+1,FALSE)</f>
        <v>übrige Golfstaaten</v>
      </c>
      <c r="D42" s="98"/>
      <c r="E42" s="99"/>
      <c r="F42" s="100"/>
      <c r="G42" s="29"/>
      <c r="H42" s="98"/>
      <c r="I42" s="99"/>
      <c r="J42" s="100"/>
      <c r="K42" s="96"/>
    </row>
    <row r="43" spans="1:11" x14ac:dyDescent="0.2">
      <c r="A43" s="24" t="str">
        <f>VLOOKUP("&lt;T13Zeilentitel_31&gt;",Uebersetzungen!$B$4:$E$588,Uebersetzungen!$B$2+1,FALSE)</f>
        <v>Lettland</v>
      </c>
      <c r="B43" s="5"/>
      <c r="C43" s="127" t="str">
        <f>VLOOKUP("&lt;Zeilentitel_44.4&gt;",Uebersetzungen!$B$4:$E$88,Uebersetzungen!$B$2+1,FALSE)</f>
        <v>übriges Osteuropa</v>
      </c>
      <c r="D43" s="98"/>
      <c r="E43" s="99"/>
      <c r="F43" s="100"/>
      <c r="G43" s="29"/>
      <c r="H43" s="98"/>
      <c r="I43" s="99"/>
      <c r="J43" s="100"/>
      <c r="K43" s="96"/>
    </row>
    <row r="44" spans="1:11" x14ac:dyDescent="0.2">
      <c r="A44" s="24" t="str">
        <f>VLOOKUP("&lt;T13Zeilentitel_32&gt;",Uebersetzungen!$B$4:$E$588,Uebersetzungen!$B$2+1,FALSE)</f>
        <v>Liechtenstein</v>
      </c>
      <c r="B44" s="5"/>
      <c r="C44" s="127" t="str">
        <f>VLOOKUP("&lt;Zeilentitel_44.2&gt;",Uebersetzungen!$B$4:$E$88,Uebersetzungen!$B$2+1,FALSE)</f>
        <v>übriges West- und Nordeuropa</v>
      </c>
      <c r="D44" s="98"/>
      <c r="E44" s="99"/>
      <c r="F44" s="100"/>
      <c r="G44" s="29"/>
      <c r="H44" s="98"/>
      <c r="I44" s="99"/>
      <c r="J44" s="100"/>
      <c r="K44" s="96"/>
    </row>
    <row r="45" spans="1:11" x14ac:dyDescent="0.2">
      <c r="A45" s="24" t="str">
        <f>VLOOKUP("&lt;T13Zeilentitel_33&gt;",Uebersetzungen!$B$4:$E$588,Uebersetzungen!$B$2+1,FALSE)</f>
        <v>Litauen</v>
      </c>
      <c r="B45" s="5"/>
      <c r="C45" s="127" t="str">
        <f>VLOOKUP("&lt;Zeilentitel_44.4&gt;",Uebersetzungen!$B$4:$E$88,Uebersetzungen!$B$2+1,FALSE)</f>
        <v>übriges Osteuropa</v>
      </c>
      <c r="D45" s="98"/>
      <c r="E45" s="99"/>
      <c r="F45" s="100"/>
      <c r="G45" s="29"/>
      <c r="H45" s="98"/>
      <c r="I45" s="99"/>
      <c r="J45" s="100"/>
      <c r="K45" s="96"/>
    </row>
    <row r="46" spans="1:11" x14ac:dyDescent="0.2">
      <c r="A46" s="24" t="str">
        <f>VLOOKUP("&lt;T13Zeilentitel_34&gt;",Uebersetzungen!$B$4:$E$588,Uebersetzungen!$B$2+1,FALSE)</f>
        <v>Luxemburg</v>
      </c>
      <c r="B46" s="5"/>
      <c r="C46" s="127" t="str">
        <f>VLOOKUP("&lt;Zeilentitel_44.9&gt;",Uebersetzungen!$B$4:$E$88,Uebersetzungen!$B$2+1,FALSE)</f>
        <v>einzeln ausgewiesen</v>
      </c>
      <c r="D46" s="98"/>
      <c r="E46" s="99"/>
      <c r="F46" s="100"/>
      <c r="G46" s="29"/>
      <c r="H46" s="98"/>
      <c r="I46" s="99"/>
      <c r="J46" s="100"/>
      <c r="K46" s="96"/>
    </row>
    <row r="47" spans="1:11" x14ac:dyDescent="0.2">
      <c r="A47" s="24" t="str">
        <f>VLOOKUP("&lt;T13Zeilentitel_35&gt;",Uebersetzungen!$B$4:$E$588,Uebersetzungen!$B$2+1,FALSE)</f>
        <v>Malaysia</v>
      </c>
      <c r="B47" s="5"/>
      <c r="C47" s="127" t="str">
        <f>VLOOKUP("&lt;Zeilentitel_44.3&gt;",Uebersetzungen!$B$4:$E$88,Uebersetzungen!$B$2+1,FALSE)</f>
        <v>übriges Südostasien</v>
      </c>
      <c r="D47" s="98"/>
      <c r="E47" s="99"/>
      <c r="F47" s="100"/>
      <c r="G47" s="29"/>
      <c r="H47" s="98"/>
      <c r="I47" s="99"/>
      <c r="J47" s="100"/>
      <c r="K47" s="96"/>
    </row>
    <row r="48" spans="1:11" x14ac:dyDescent="0.2">
      <c r="A48" s="24" t="str">
        <f>VLOOKUP("&lt;T13Zeilentitel_36&gt;",Uebersetzungen!$B$4:$E$588,Uebersetzungen!$B$2+1,FALSE)</f>
        <v>Malta</v>
      </c>
      <c r="B48" s="5"/>
      <c r="C48" s="127" t="str">
        <f>VLOOKUP("&lt;Zeilentitel_44.2&gt;",Uebersetzungen!$B$4:$E$88,Uebersetzungen!$B$2+1,FALSE)</f>
        <v>übriges West- und Nordeuropa</v>
      </c>
      <c r="D48" s="98"/>
      <c r="E48" s="99"/>
      <c r="F48" s="100"/>
      <c r="G48" s="29"/>
      <c r="H48" s="98"/>
      <c r="I48" s="99"/>
      <c r="J48" s="100"/>
      <c r="K48" s="96"/>
    </row>
    <row r="49" spans="1:11" x14ac:dyDescent="0.2">
      <c r="A49" s="24" t="str">
        <f>VLOOKUP("&lt;T13Zeilentitel_37&gt;",Uebersetzungen!$B$4:$E$588,Uebersetzungen!$B$2+1,FALSE)</f>
        <v>Mexiko</v>
      </c>
      <c r="B49" s="5"/>
      <c r="C49" s="127" t="str">
        <f>VLOOKUP("&lt;Zeilentitel_44.5&gt;",Uebersetzungen!$B$4:$E$88,Uebersetzungen!$B$2+1,FALSE)</f>
        <v>übriges Zentral- und Südamerika</v>
      </c>
      <c r="D49" s="98"/>
      <c r="E49" s="99"/>
      <c r="F49" s="100"/>
      <c r="G49" s="29"/>
      <c r="H49" s="98"/>
      <c r="I49" s="99"/>
      <c r="J49" s="100"/>
      <c r="K49" s="96"/>
    </row>
    <row r="50" spans="1:11" x14ac:dyDescent="0.2">
      <c r="A50" s="24" t="str">
        <f>VLOOKUP("&lt;T13Zeilentitel_38&gt;",Uebersetzungen!$B$4:$E$588,Uebersetzungen!$B$2+1,FALSE)</f>
        <v>Neuseeland, Ozeanien</v>
      </c>
      <c r="B50" s="5"/>
      <c r="C50" s="127" t="str">
        <f>VLOOKUP("&lt;Zeilentitel_44.3&gt;",Uebersetzungen!$B$4:$E$88,Uebersetzungen!$B$2+1,FALSE)</f>
        <v>übriges Südostasien</v>
      </c>
      <c r="D50" s="98"/>
      <c r="E50" s="99"/>
      <c r="F50" s="100"/>
      <c r="G50" s="29"/>
      <c r="H50" s="98"/>
      <c r="I50" s="99"/>
      <c r="J50" s="100"/>
      <c r="K50" s="96"/>
    </row>
    <row r="51" spans="1:11" x14ac:dyDescent="0.2">
      <c r="A51" s="24" t="str">
        <f>VLOOKUP("&lt;T13Zeilentitel_39&gt;",Uebersetzungen!$B$4:$E$588,Uebersetzungen!$B$2+1,FALSE)</f>
        <v>Niederlande</v>
      </c>
      <c r="B51" s="5"/>
      <c r="C51" s="127" t="str">
        <f>VLOOKUP("&lt;Zeilentitel_44.9&gt;",Uebersetzungen!$B$4:$E$88,Uebersetzungen!$B$2+1,FALSE)</f>
        <v>einzeln ausgewiesen</v>
      </c>
      <c r="D51" s="98"/>
      <c r="E51" s="99"/>
      <c r="F51" s="100"/>
      <c r="G51" s="29"/>
      <c r="H51" s="98"/>
      <c r="I51" s="99"/>
      <c r="J51" s="100"/>
      <c r="K51" s="96"/>
    </row>
    <row r="52" spans="1:11" x14ac:dyDescent="0.2">
      <c r="A52" s="24" t="str">
        <f>VLOOKUP("&lt;T13Zeilentitel_40&gt;",Uebersetzungen!$B$4:$E$588,Uebersetzungen!$B$2+1,FALSE)</f>
        <v>Norwegen</v>
      </c>
      <c r="B52" s="5"/>
      <c r="C52" s="127" t="str">
        <f>VLOOKUP("&lt;Zeilentitel_44.2&gt;",Uebersetzungen!$B$4:$E$88,Uebersetzungen!$B$2+1,FALSE)</f>
        <v>übriges West- und Nordeuropa</v>
      </c>
      <c r="D52" s="98"/>
      <c r="E52" s="99"/>
      <c r="F52" s="100"/>
      <c r="G52" s="29"/>
      <c r="H52" s="98"/>
      <c r="I52" s="99"/>
      <c r="J52" s="100"/>
      <c r="K52" s="96"/>
    </row>
    <row r="53" spans="1:11" x14ac:dyDescent="0.2">
      <c r="A53" s="24" t="str">
        <f>VLOOKUP("&lt;T13Zeilentitel_41&gt;",Uebersetzungen!$B$4:$E$588,Uebersetzungen!$B$2+1,FALSE)</f>
        <v>Oman</v>
      </c>
      <c r="B53" s="5"/>
      <c r="C53" s="127" t="str">
        <f>VLOOKUP("&lt;Zeilentitel_44.1&gt;",Uebersetzungen!$B$4:$E$88,Uebersetzungen!$B$2+1,FALSE)</f>
        <v>übrige Golfstaaten</v>
      </c>
      <c r="D53" s="98"/>
      <c r="E53" s="99"/>
      <c r="F53" s="100"/>
      <c r="G53" s="29"/>
      <c r="H53" s="98"/>
      <c r="I53" s="99"/>
      <c r="J53" s="100"/>
      <c r="K53" s="96"/>
    </row>
    <row r="54" spans="1:11" x14ac:dyDescent="0.2">
      <c r="A54" s="24" t="str">
        <f>VLOOKUP("&lt;T13Zeilentitel_42&gt;",Uebersetzungen!$B$4:$E$588,Uebersetzungen!$B$2+1,FALSE)</f>
        <v>Österreich</v>
      </c>
      <c r="B54" s="5"/>
      <c r="C54" s="127" t="str">
        <f>VLOOKUP("&lt;Zeilentitel_44.9&gt;",Uebersetzungen!$B$4:$E$88,Uebersetzungen!$B$2+1,FALSE)</f>
        <v>einzeln ausgewiesen</v>
      </c>
      <c r="D54" s="98"/>
      <c r="E54" s="99"/>
      <c r="F54" s="100"/>
      <c r="G54" s="29"/>
      <c r="H54" s="98"/>
      <c r="I54" s="99"/>
      <c r="J54" s="100"/>
      <c r="K54" s="96"/>
    </row>
    <row r="55" spans="1:11" x14ac:dyDescent="0.2">
      <c r="A55" s="24" t="str">
        <f>VLOOKUP("&lt;T13Zeilentitel_43&gt;",Uebersetzungen!$B$4:$E$588,Uebersetzungen!$B$2+1,FALSE)</f>
        <v>Philippinen</v>
      </c>
      <c r="B55" s="5"/>
      <c r="C55" s="127" t="str">
        <f>VLOOKUP("&lt;Zeilentitel_44.3&gt;",Uebersetzungen!$B$4:$E$88,Uebersetzungen!$B$2+1,FALSE)</f>
        <v>übriges Südostasien</v>
      </c>
      <c r="D55" s="98"/>
      <c r="E55" s="99"/>
      <c r="F55" s="100"/>
      <c r="G55" s="29"/>
      <c r="H55" s="98"/>
      <c r="I55" s="99"/>
      <c r="J55" s="100"/>
      <c r="K55" s="96"/>
    </row>
    <row r="56" spans="1:11" x14ac:dyDescent="0.2">
      <c r="A56" s="24" t="str">
        <f>VLOOKUP("&lt;T13Zeilentitel_44&gt;",Uebersetzungen!$B$4:$E$588,Uebersetzungen!$B$2+1,FALSE)</f>
        <v>Portugal</v>
      </c>
      <c r="B56" s="5"/>
      <c r="C56" s="127" t="str">
        <f>VLOOKUP("&lt;Zeilentitel_44.2&gt;",Uebersetzungen!$B$4:$E$88,Uebersetzungen!$B$2+1,FALSE)</f>
        <v>übriges West- und Nordeuropa</v>
      </c>
      <c r="D56" s="98"/>
      <c r="E56" s="99"/>
      <c r="F56" s="100"/>
      <c r="G56" s="29"/>
      <c r="H56" s="98"/>
      <c r="I56" s="99"/>
      <c r="J56" s="100"/>
      <c r="K56" s="96"/>
    </row>
    <row r="57" spans="1:11" x14ac:dyDescent="0.2">
      <c r="A57" s="24" t="str">
        <f>VLOOKUP("&lt;T13Zeilentitel_45&gt;",Uebersetzungen!$B$4:$E$588,Uebersetzungen!$B$2+1,FALSE)</f>
        <v>Polen</v>
      </c>
      <c r="B57" s="5"/>
      <c r="C57" s="127" t="str">
        <f>VLOOKUP("&lt;Zeilentitel_44.9&gt;",Uebersetzungen!$B$4:$E$88,Uebersetzungen!$B$2+1,FALSE)</f>
        <v>einzeln ausgewiesen</v>
      </c>
      <c r="D57" s="98"/>
      <c r="E57" s="99"/>
      <c r="F57" s="100"/>
      <c r="G57" s="29"/>
      <c r="H57" s="98"/>
      <c r="I57" s="99"/>
      <c r="J57" s="100"/>
      <c r="K57" s="96"/>
    </row>
    <row r="58" spans="1:11" x14ac:dyDescent="0.2">
      <c r="A58" s="24" t="str">
        <f>VLOOKUP("&lt;T13Zeilentitel_46&gt;",Uebersetzungen!$B$4:$E$588,Uebersetzungen!$B$2+1,FALSE)</f>
        <v>Rumänien</v>
      </c>
      <c r="B58" s="5"/>
      <c r="C58" s="127" t="str">
        <f>VLOOKUP("&lt;Zeilentitel_44.4&gt;",Uebersetzungen!$B$4:$E$88,Uebersetzungen!$B$2+1,FALSE)</f>
        <v>übriges Osteuropa</v>
      </c>
      <c r="D58" s="98"/>
      <c r="E58" s="99"/>
      <c r="F58" s="100"/>
      <c r="G58" s="29"/>
      <c r="H58" s="98"/>
      <c r="I58" s="99"/>
      <c r="J58" s="100"/>
      <c r="K58" s="96"/>
    </row>
    <row r="59" spans="1:11" x14ac:dyDescent="0.2">
      <c r="A59" s="24" t="str">
        <f>VLOOKUP("&lt;T13Zeilentitel_47&gt;",Uebersetzungen!$B$4:$E$588,Uebersetzungen!$B$2+1,FALSE)</f>
        <v>Russland</v>
      </c>
      <c r="B59" s="5"/>
      <c r="C59" s="127" t="str">
        <f>VLOOKUP("&lt;Zeilentitel_44.4&gt;",Uebersetzungen!$B$4:$E$88,Uebersetzungen!$B$2+1,FALSE)</f>
        <v>übriges Osteuropa</v>
      </c>
      <c r="D59" s="98"/>
      <c r="E59" s="99"/>
      <c r="F59" s="100"/>
      <c r="G59" s="29"/>
      <c r="H59" s="98"/>
      <c r="I59" s="99"/>
      <c r="J59" s="100"/>
      <c r="K59" s="96"/>
    </row>
    <row r="60" spans="1:11" x14ac:dyDescent="0.2">
      <c r="A60" s="24" t="str">
        <f>VLOOKUP("&lt;T13Zeilentitel_48&gt;",Uebersetzungen!$B$4:$E$588,Uebersetzungen!$B$2+1,FALSE)</f>
        <v>Saudi-Arabien</v>
      </c>
      <c r="B60" s="5"/>
      <c r="C60" s="127" t="str">
        <f>VLOOKUP("&lt;Zeilentitel_44.1&gt;",Uebersetzungen!$B$4:$E$88,Uebersetzungen!$B$2+1,FALSE)</f>
        <v>übrige Golfstaaten</v>
      </c>
      <c r="D60" s="98"/>
      <c r="E60" s="99"/>
      <c r="F60" s="100"/>
      <c r="G60" s="29"/>
      <c r="H60" s="98"/>
      <c r="I60" s="99"/>
      <c r="J60" s="100"/>
      <c r="K60" s="96"/>
    </row>
    <row r="61" spans="1:11" x14ac:dyDescent="0.2">
      <c r="A61" s="24" t="str">
        <f>VLOOKUP("&lt;T13Zeilentitel_49&gt;",Uebersetzungen!$B$4:$E$588,Uebersetzungen!$B$2+1,FALSE)</f>
        <v>Schweden</v>
      </c>
      <c r="B61" s="5"/>
      <c r="C61" s="127" t="str">
        <f>VLOOKUP("&lt;Zeilentitel_44.9&gt;",Uebersetzungen!$B$4:$E$88,Uebersetzungen!$B$2+1,FALSE)</f>
        <v>einzeln ausgewiesen</v>
      </c>
      <c r="D61" s="98"/>
      <c r="E61" s="99"/>
      <c r="F61" s="100"/>
      <c r="G61" s="29"/>
      <c r="H61" s="98"/>
      <c r="I61" s="99"/>
      <c r="J61" s="100"/>
      <c r="K61" s="96"/>
    </row>
    <row r="62" spans="1:11" x14ac:dyDescent="0.2">
      <c r="A62" s="24" t="str">
        <f>VLOOKUP("&lt;T13Zeilentitel_50&gt;",Uebersetzungen!$B$4:$E$588,Uebersetzungen!$B$2+1,FALSE)</f>
        <v>Schweiz</v>
      </c>
      <c r="B62" s="5"/>
      <c r="C62" s="127" t="str">
        <f>VLOOKUP("&lt;Zeilentitel_44.9&gt;",Uebersetzungen!$B$4:$E$88,Uebersetzungen!$B$2+1,FALSE)</f>
        <v>einzeln ausgewiesen</v>
      </c>
      <c r="D62" s="98"/>
      <c r="E62" s="99"/>
      <c r="F62" s="100"/>
      <c r="G62" s="29"/>
      <c r="H62" s="98"/>
      <c r="I62" s="99"/>
      <c r="J62" s="100"/>
      <c r="K62" s="96"/>
    </row>
    <row r="63" spans="1:11" x14ac:dyDescent="0.2">
      <c r="A63" s="24" t="str">
        <f>VLOOKUP("&lt;T13Zeilentitel_51&gt;",Uebersetzungen!$B$4:$E$588,Uebersetzungen!$B$2+1,FALSE)</f>
        <v>Serbien</v>
      </c>
      <c r="B63" s="5"/>
      <c r="C63" s="127" t="str">
        <f>VLOOKUP("&lt;Zeilentitel_44.7&gt;",Uebersetzungen!$B$4:$E$88,Uebersetzungen!$B$2+1,FALSE)</f>
        <v>Südosteuropa</v>
      </c>
      <c r="D63" s="98"/>
      <c r="E63" s="99"/>
      <c r="F63" s="100"/>
      <c r="G63" s="29"/>
      <c r="H63" s="98"/>
      <c r="I63" s="99"/>
      <c r="J63" s="100"/>
      <c r="K63" s="96"/>
    </row>
    <row r="64" spans="1:11" x14ac:dyDescent="0.2">
      <c r="A64" s="24" t="str">
        <f>VLOOKUP("&lt;T13Zeilentitel_52&gt;",Uebersetzungen!$B$4:$E$588,Uebersetzungen!$B$2+1,FALSE)</f>
        <v>Singapur</v>
      </c>
      <c r="B64" s="5"/>
      <c r="C64" s="127" t="str">
        <f>VLOOKUP("&lt;Zeilentitel_44.3&gt;",Uebersetzungen!$B$4:$E$88,Uebersetzungen!$B$2+1,FALSE)</f>
        <v>übriges Südostasien</v>
      </c>
      <c r="D64" s="98"/>
      <c r="E64" s="99"/>
      <c r="F64" s="100"/>
      <c r="G64" s="29"/>
      <c r="H64" s="98"/>
      <c r="I64" s="99"/>
      <c r="J64" s="100"/>
      <c r="K64" s="96"/>
    </row>
    <row r="65" spans="1:11" x14ac:dyDescent="0.2">
      <c r="A65" s="24" t="str">
        <f>VLOOKUP("&lt;T13Zeilentitel_53&gt;",Uebersetzungen!$B$4:$E$588,Uebersetzungen!$B$2+1,FALSE)</f>
        <v>Slowakei</v>
      </c>
      <c r="B65" s="5"/>
      <c r="C65" s="127" t="str">
        <f>VLOOKUP("&lt;Zeilentitel_44.4&gt;",Uebersetzungen!$B$4:$E$88,Uebersetzungen!$B$2+1,FALSE)</f>
        <v>übriges Osteuropa</v>
      </c>
      <c r="D65" s="98"/>
      <c r="E65" s="99"/>
      <c r="F65" s="100"/>
      <c r="G65" s="29"/>
      <c r="H65" s="98"/>
      <c r="I65" s="99"/>
      <c r="J65" s="100"/>
      <c r="K65" s="96"/>
    </row>
    <row r="66" spans="1:11" x14ac:dyDescent="0.2">
      <c r="A66" s="24" t="str">
        <f>VLOOKUP("&lt;T13Zeilentitel_54&gt;",Uebersetzungen!$B$4:$E$588,Uebersetzungen!$B$2+1,FALSE)</f>
        <v>Slowenien</v>
      </c>
      <c r="B66" s="5"/>
      <c r="C66" s="127" t="str">
        <f>VLOOKUP("&lt;Zeilentitel_44.7&gt;",Uebersetzungen!$B$4:$E$88,Uebersetzungen!$B$2+1,FALSE)</f>
        <v>Südosteuropa</v>
      </c>
      <c r="D66" s="98"/>
      <c r="E66" s="99"/>
      <c r="F66" s="100"/>
      <c r="G66" s="29"/>
      <c r="H66" s="98"/>
      <c r="I66" s="99"/>
      <c r="J66" s="100"/>
      <c r="K66" s="96"/>
    </row>
    <row r="67" spans="1:11" x14ac:dyDescent="0.2">
      <c r="A67" s="24" t="str">
        <f>VLOOKUP("&lt;T13Zeilentitel_55&gt;",Uebersetzungen!$B$4:$E$588,Uebersetzungen!$B$2+1,FALSE)</f>
        <v>Spanien</v>
      </c>
      <c r="B67" s="5"/>
      <c r="C67" s="127" t="str">
        <f>VLOOKUP("&lt;Zeilentitel_44.9&gt;",Uebersetzungen!$B$4:$E$88,Uebersetzungen!$B$2+1,FALSE)</f>
        <v>einzeln ausgewiesen</v>
      </c>
      <c r="D67" s="98"/>
      <c r="E67" s="99"/>
      <c r="F67" s="100"/>
      <c r="G67" s="29"/>
      <c r="H67" s="98"/>
      <c r="I67" s="99"/>
      <c r="J67" s="100"/>
      <c r="K67" s="96"/>
    </row>
    <row r="68" spans="1:11" x14ac:dyDescent="0.2">
      <c r="A68" s="24" t="str">
        <f>VLOOKUP("&lt;T13Zeilentitel_56&gt;",Uebersetzungen!$B$4:$E$588,Uebersetzungen!$B$2+1,FALSE)</f>
        <v>Südafrika</v>
      </c>
      <c r="B68" s="5"/>
      <c r="C68" s="127" t="str">
        <f>VLOOKUP("&lt;Zeilentitel_44.6&gt;",Uebersetzungen!$B$4:$E$88,Uebersetzungen!$B$2+1,FALSE)</f>
        <v>Afrikanischer Kontinent</v>
      </c>
      <c r="D68" s="98"/>
      <c r="E68" s="99"/>
      <c r="F68" s="100"/>
      <c r="G68" s="29"/>
      <c r="H68" s="98"/>
      <c r="I68" s="99"/>
      <c r="J68" s="100"/>
      <c r="K68" s="96"/>
    </row>
    <row r="69" spans="1:11" x14ac:dyDescent="0.2">
      <c r="A69" s="24" t="str">
        <f>VLOOKUP("&lt;T13Zeilentitel_57&gt;",Uebersetzungen!$B$4:$E$588,Uebersetzungen!$B$2+1,FALSE)</f>
        <v>Taiwan</v>
      </c>
      <c r="B69" s="5"/>
      <c r="C69" s="127" t="str">
        <f>VLOOKUP("&lt;Zeilentitel_44.9&gt;",Uebersetzungen!$B$4:$E$88,Uebersetzungen!$B$2+1,FALSE)</f>
        <v>einzeln ausgewiesen</v>
      </c>
      <c r="D69" s="98"/>
      <c r="E69" s="99"/>
      <c r="F69" s="100"/>
      <c r="G69" s="29"/>
      <c r="H69" s="98"/>
      <c r="I69" s="99"/>
      <c r="J69" s="100"/>
      <c r="K69" s="96"/>
    </row>
    <row r="70" spans="1:11" x14ac:dyDescent="0.2">
      <c r="A70" s="24" t="str">
        <f>VLOOKUP("&lt;T13Zeilentitel_58&gt;",Uebersetzungen!$B$4:$E$588,Uebersetzungen!$B$2+1,FALSE)</f>
        <v>Thailand</v>
      </c>
      <c r="B70" s="5"/>
      <c r="C70" s="127" t="str">
        <f>VLOOKUP("&lt;Zeilentitel_44.3&gt;",Uebersetzungen!$B$4:$E$88,Uebersetzungen!$B$2+1,FALSE)</f>
        <v>übriges Südostasien</v>
      </c>
      <c r="D70" s="98"/>
      <c r="E70" s="99"/>
      <c r="F70" s="100"/>
      <c r="G70" s="29"/>
      <c r="H70" s="98"/>
      <c r="I70" s="99"/>
      <c r="J70" s="100"/>
      <c r="K70" s="96"/>
    </row>
    <row r="71" spans="1:11" x14ac:dyDescent="0.2">
      <c r="A71" s="24" t="str">
        <f>VLOOKUP("&lt;T13Zeilentitel_59&gt;",Uebersetzungen!$B$4:$E$588,Uebersetzungen!$B$2+1,FALSE)</f>
        <v>Tschechien</v>
      </c>
      <c r="B71" s="5"/>
      <c r="C71" s="127" t="str">
        <f>VLOOKUP("&lt;Zeilentitel_44.9&gt;",Uebersetzungen!$B$4:$E$88,Uebersetzungen!$B$2+1,FALSE)</f>
        <v>einzeln ausgewiesen</v>
      </c>
      <c r="D71" s="98"/>
      <c r="E71" s="99"/>
      <c r="F71" s="100"/>
      <c r="G71" s="29"/>
      <c r="H71" s="98"/>
      <c r="I71" s="99"/>
      <c r="J71" s="100"/>
      <c r="K71" s="96"/>
    </row>
    <row r="72" spans="1:11" x14ac:dyDescent="0.2">
      <c r="A72" s="24" t="str">
        <f>VLOOKUP("&lt;T13Zeilentitel_60&gt;",Uebersetzungen!$B$4:$E$588,Uebersetzungen!$B$2+1,FALSE)</f>
        <v>Türkei</v>
      </c>
      <c r="B72" s="5"/>
      <c r="C72" s="127" t="str">
        <f>VLOOKUP("&lt;Zeilentitel_44.7&gt;",Uebersetzungen!$B$4:$E$88,Uebersetzungen!$B$2+1,FALSE)</f>
        <v>Südosteuropa</v>
      </c>
      <c r="D72" s="98"/>
      <c r="E72" s="99"/>
      <c r="F72" s="100"/>
      <c r="G72" s="29"/>
      <c r="H72" s="98"/>
      <c r="I72" s="99"/>
      <c r="J72" s="100"/>
      <c r="K72" s="96"/>
    </row>
    <row r="73" spans="1:11" x14ac:dyDescent="0.2">
      <c r="A73" s="24" t="str">
        <f>VLOOKUP("&lt;T13Zeilentitel_61&gt;",Uebersetzungen!$B$4:$E$588,Uebersetzungen!$B$2+1,FALSE)</f>
        <v>Übriges Afrika</v>
      </c>
      <c r="B73" s="5"/>
      <c r="C73" s="127" t="str">
        <f>VLOOKUP("&lt;Zeilentitel_44.6&gt;",Uebersetzungen!$B$4:$E$88,Uebersetzungen!$B$2+1,FALSE)</f>
        <v>Afrikanischer Kontinent</v>
      </c>
      <c r="D73" s="98"/>
      <c r="E73" s="99"/>
      <c r="F73" s="100"/>
      <c r="G73" s="29"/>
      <c r="H73" s="98"/>
      <c r="I73" s="99"/>
      <c r="J73" s="100"/>
      <c r="K73" s="96"/>
    </row>
    <row r="74" spans="1:11" x14ac:dyDescent="0.2">
      <c r="A74" s="24" t="str">
        <f>VLOOKUP("&lt;T13Zeilentitel_62&gt;",Uebersetzungen!$B$4:$E$588,Uebersetzungen!$B$2+1,FALSE)</f>
        <v>Übriges Europa</v>
      </c>
      <c r="B74" s="5"/>
      <c r="C74" s="127" t="str">
        <f>VLOOKUP("&lt;Zeilentitel_44.2&gt;",Uebersetzungen!$B$4:$E$88,Uebersetzungen!$B$2+1,FALSE)</f>
        <v>übriges West- und Nordeuropa</v>
      </c>
      <c r="D74" s="98"/>
      <c r="E74" s="99"/>
      <c r="F74" s="100"/>
      <c r="G74" s="29"/>
      <c r="H74" s="98"/>
      <c r="I74" s="99"/>
      <c r="J74" s="100"/>
      <c r="K74" s="96"/>
    </row>
    <row r="75" spans="1:11" x14ac:dyDescent="0.2">
      <c r="A75" s="24" t="str">
        <f>VLOOKUP("&lt;T13Zeilentitel_63&gt;",Uebersetzungen!$B$4:$E$588,Uebersetzungen!$B$2+1,FALSE)</f>
        <v>Übriges Nordafrika</v>
      </c>
      <c r="B75" s="5"/>
      <c r="C75" s="127" t="str">
        <f>VLOOKUP("&lt;Zeilentitel_44.6&gt;",Uebersetzungen!$B$4:$E$88,Uebersetzungen!$B$2+1,FALSE)</f>
        <v>Afrikanischer Kontinent</v>
      </c>
      <c r="D75" s="98"/>
      <c r="E75" s="99"/>
      <c r="F75" s="100"/>
      <c r="G75" s="29"/>
      <c r="H75" s="98"/>
      <c r="I75" s="99"/>
      <c r="J75" s="100"/>
      <c r="K75" s="96"/>
    </row>
    <row r="76" spans="1:11" x14ac:dyDescent="0.2">
      <c r="A76" s="24" t="str">
        <f>VLOOKUP("&lt;T13Zeilentitel_64&gt;",Uebersetzungen!$B$4:$E$588,Uebersetzungen!$B$2+1,FALSE)</f>
        <v>Übriges Süd- und Ostasien</v>
      </c>
      <c r="B76" s="5"/>
      <c r="C76" s="127" t="str">
        <f>VLOOKUP("&lt;Zeilentitel_44.3&gt;",Uebersetzungen!$B$4:$E$88,Uebersetzungen!$B$2+1,FALSE)</f>
        <v>übriges Südostasien</v>
      </c>
      <c r="D76" s="98"/>
      <c r="E76" s="99"/>
      <c r="F76" s="100"/>
      <c r="G76" s="29"/>
      <c r="H76" s="98"/>
      <c r="I76" s="99"/>
      <c r="J76" s="100"/>
      <c r="K76" s="96"/>
    </row>
    <row r="77" spans="1:11" x14ac:dyDescent="0.2">
      <c r="A77" s="24" t="str">
        <f>VLOOKUP("&lt;T13Zeilentitel_65&gt;",Uebersetzungen!$B$4:$E$588,Uebersetzungen!$B$2+1,FALSE)</f>
        <v>Übriges Südamerika</v>
      </c>
      <c r="B77" s="5"/>
      <c r="C77" s="127" t="str">
        <f>VLOOKUP("&lt;Zeilentitel_44.5&gt;",Uebersetzungen!$B$4:$E$88,Uebersetzungen!$B$2+1,FALSE)</f>
        <v>übriges Zentral- und Südamerika</v>
      </c>
      <c r="D77" s="98"/>
      <c r="E77" s="99"/>
      <c r="F77" s="100"/>
      <c r="G77" s="29"/>
      <c r="H77" s="98"/>
      <c r="I77" s="99"/>
      <c r="J77" s="100"/>
      <c r="K77" s="96"/>
    </row>
    <row r="78" spans="1:11" x14ac:dyDescent="0.2">
      <c r="A78" s="24" t="str">
        <f>VLOOKUP("&lt;T13Zeilentitel_66&gt;",Uebersetzungen!$B$4:$E$588,Uebersetzungen!$B$2+1,FALSE)</f>
        <v>Übriges Westasien</v>
      </c>
      <c r="B78" s="5"/>
      <c r="C78" s="127" t="str">
        <f>VLOOKUP("&lt;Zeilentitel_44.3&gt;",Uebersetzungen!$B$4:$E$88,Uebersetzungen!$B$2+1,FALSE)</f>
        <v>übriges Südostasien</v>
      </c>
      <c r="D78" s="98"/>
      <c r="E78" s="99"/>
      <c r="F78" s="100"/>
      <c r="G78" s="29"/>
      <c r="H78" s="98"/>
      <c r="I78" s="99"/>
      <c r="J78" s="100"/>
      <c r="K78" s="96"/>
    </row>
    <row r="79" spans="1:11" x14ac:dyDescent="0.2">
      <c r="A79" s="24" t="str">
        <f>VLOOKUP("&lt;T13Zeilentitel_67&gt;",Uebersetzungen!$B$4:$E$588,Uebersetzungen!$B$2+1,FALSE)</f>
        <v>Übriges Zentralamerika, Karibik</v>
      </c>
      <c r="B79" s="5"/>
      <c r="C79" s="127" t="str">
        <f>VLOOKUP("&lt;Zeilentitel_44.5&gt;",Uebersetzungen!$B$4:$E$88,Uebersetzungen!$B$2+1,FALSE)</f>
        <v>übriges Zentral- und Südamerika</v>
      </c>
      <c r="D79" s="98"/>
      <c r="E79" s="99"/>
      <c r="F79" s="100"/>
      <c r="G79" s="29"/>
      <c r="H79" s="98"/>
      <c r="I79" s="99"/>
      <c r="J79" s="100"/>
      <c r="K79" s="96"/>
    </row>
    <row r="80" spans="1:11" x14ac:dyDescent="0.2">
      <c r="A80" s="24" t="str">
        <f>VLOOKUP("&lt;T13Zeilentitel_68&gt;",Uebersetzungen!$B$4:$E$588,Uebersetzungen!$B$2+1,FALSE)</f>
        <v>Ukraine</v>
      </c>
      <c r="B80" s="5"/>
      <c r="C80" s="127" t="str">
        <f>VLOOKUP("&lt;Zeilentitel_44.4&gt;",Uebersetzungen!$B$4:$E$88,Uebersetzungen!$B$2+1,FALSE)</f>
        <v>übriges Osteuropa</v>
      </c>
      <c r="D80" s="98"/>
      <c r="E80" s="99"/>
      <c r="F80" s="100"/>
      <c r="G80" s="29"/>
      <c r="H80" s="98"/>
      <c r="I80" s="99"/>
      <c r="J80" s="100"/>
      <c r="K80" s="96"/>
    </row>
    <row r="81" spans="1:11" x14ac:dyDescent="0.2">
      <c r="A81" s="24" t="str">
        <f>VLOOKUP("&lt;T13Zeilentitel_69&gt;",Uebersetzungen!$B$4:$E$588,Uebersetzungen!$B$2+1,FALSE)</f>
        <v>Ungarn</v>
      </c>
      <c r="B81" s="5"/>
      <c r="C81" s="127" t="str">
        <f>VLOOKUP("&lt;Zeilentitel_44.4&gt;",Uebersetzungen!$B$4:$E$88,Uebersetzungen!$B$2+1,FALSE)</f>
        <v>übriges Osteuropa</v>
      </c>
      <c r="D81" s="98"/>
      <c r="E81" s="99"/>
      <c r="F81" s="100"/>
      <c r="G81" s="29"/>
      <c r="H81" s="98"/>
      <c r="I81" s="99"/>
      <c r="J81" s="100"/>
      <c r="K81" s="96"/>
    </row>
    <row r="82" spans="1:11" x14ac:dyDescent="0.2">
      <c r="A82" s="24" t="str">
        <f>VLOOKUP("&lt;T13Zeilentitel_70&gt;",Uebersetzungen!$B$4:$E$588,Uebersetzungen!$B$2+1,FALSE)</f>
        <v>Vereinigte Arabische Emirate</v>
      </c>
      <c r="B82" s="5"/>
      <c r="C82" s="127" t="str">
        <f>VLOOKUP("&lt;Zeilentitel_44.9&gt;",Uebersetzungen!$B$4:$E$88,Uebersetzungen!$B$2+1,FALSE)</f>
        <v>einzeln ausgewiesen</v>
      </c>
      <c r="D82" s="98"/>
      <c r="E82" s="99"/>
      <c r="F82" s="100"/>
      <c r="G82" s="29"/>
      <c r="H82" s="98"/>
      <c r="I82" s="99"/>
      <c r="J82" s="100"/>
      <c r="K82" s="96"/>
    </row>
    <row r="83" spans="1:11" x14ac:dyDescent="0.2">
      <c r="A83" s="24" t="str">
        <f>VLOOKUP("&lt;T13Zeilentitel_71&gt;",Uebersetzungen!$B$4:$E$588,Uebersetzungen!$B$2+1,FALSE)</f>
        <v>Vereinigte Staaten</v>
      </c>
      <c r="B83" s="5"/>
      <c r="C83" s="127" t="str">
        <f>VLOOKUP("&lt;Zeilentitel_44.9&gt;",Uebersetzungen!$B$4:$E$88,Uebersetzungen!$B$2+1,FALSE)</f>
        <v>einzeln ausgewiesen</v>
      </c>
      <c r="D83" s="98"/>
      <c r="E83" s="99"/>
      <c r="F83" s="100"/>
      <c r="G83" s="29"/>
      <c r="H83" s="98"/>
      <c r="I83" s="99"/>
      <c r="J83" s="100"/>
      <c r="K83" s="96"/>
    </row>
    <row r="84" spans="1:11" x14ac:dyDescent="0.2">
      <c r="A84" s="24" t="str">
        <f>VLOOKUP("&lt;T13Zeilentitel_72&gt;",Uebersetzungen!$B$4:$E$588,Uebersetzungen!$B$2+1,FALSE)</f>
        <v>Vereinigtes Königreich</v>
      </c>
      <c r="B84" s="5"/>
      <c r="C84" s="127" t="str">
        <f>VLOOKUP("&lt;Zeilentitel_44.9&gt;",Uebersetzungen!$B$4:$E$88,Uebersetzungen!$B$2+1,FALSE)</f>
        <v>einzeln ausgewiesen</v>
      </c>
      <c r="D84" s="98"/>
      <c r="E84" s="99"/>
      <c r="F84" s="100"/>
      <c r="G84" s="29"/>
      <c r="H84" s="98"/>
      <c r="I84" s="99"/>
      <c r="J84" s="100"/>
      <c r="K84" s="96"/>
    </row>
    <row r="85" spans="1:11" x14ac:dyDescent="0.2">
      <c r="A85" s="24" t="str">
        <f>VLOOKUP("&lt;T13Zeilentitel_73&gt;",Uebersetzungen!$B$4:$E$588,Uebersetzungen!$B$2+1,FALSE)</f>
        <v>Zypern</v>
      </c>
      <c r="B85" s="5"/>
      <c r="C85" s="127" t="str">
        <f>VLOOKUP("&lt;Zeilentitel_44.7&gt;",Uebersetzungen!$B$4:$E$88,Uebersetzungen!$B$2+1,FALSE)</f>
        <v>Südosteuropa</v>
      </c>
      <c r="D85" s="98"/>
      <c r="E85" s="99"/>
      <c r="F85" s="100"/>
      <c r="G85" s="29"/>
      <c r="H85" s="98"/>
      <c r="I85" s="99"/>
      <c r="J85" s="100"/>
      <c r="K85" s="96"/>
    </row>
    <row r="86" spans="1:11" ht="13.5" thickBot="1" x14ac:dyDescent="0.25">
      <c r="A86" s="124"/>
      <c r="B86" s="6"/>
      <c r="C86" s="129"/>
      <c r="D86" s="98"/>
      <c r="E86" s="99"/>
      <c r="F86" s="100"/>
      <c r="G86" s="29"/>
      <c r="H86" s="98"/>
      <c r="I86" s="99"/>
      <c r="J86" s="100"/>
      <c r="K86" s="96"/>
    </row>
    <row r="87" spans="1:11" x14ac:dyDescent="0.2">
      <c r="D87" s="96"/>
      <c r="E87" s="96"/>
      <c r="F87" s="96"/>
      <c r="G87" s="96"/>
      <c r="H87" s="96"/>
      <c r="I87" s="96"/>
      <c r="J87" s="96"/>
      <c r="K87" s="96"/>
    </row>
    <row r="88" spans="1:11" ht="12.75" customHeight="1" x14ac:dyDescent="0.2">
      <c r="A88" s="4" t="str">
        <f>VLOOKUP("&lt;Aktualisierung&gt;",Uebersetzungen!$B$4:$E$97,Uebersetzungen!$B$2+1,FALSE)</f>
        <v>Letztmals aktualisiert am: 09.03.2026</v>
      </c>
    </row>
    <row r="89" spans="1:11" x14ac:dyDescent="0.2">
      <c r="A89" s="4" t="str">
        <f>VLOOKUP("&lt;Legende_2&gt;",Uebersetzungen!$B$4:$E$97,Uebersetzungen!$B$2+1,FALSE)</f>
        <v>Kontakt: Luzius Stricker, 081 257 23 74, luzius.stricker@awt.gr.ch</v>
      </c>
    </row>
    <row r="90" spans="1:11" x14ac:dyDescent="0.2">
      <c r="A90" s="31"/>
    </row>
    <row r="92" spans="1:11" x14ac:dyDescent="0.2">
      <c r="A92" s="4" t="s">
        <v>47</v>
      </c>
    </row>
  </sheetData>
  <sheetProtection sheet="1" objects="1" scenarios="1"/>
  <mergeCells count="1">
    <mergeCell ref="A7:D7"/>
  </mergeCells>
  <pageMargins left="0.70866141732283472" right="0.70866141732283472" top="0.78740157480314965" bottom="0.78740157480314965" header="0.31496062992125984" footer="0.31496062992125984"/>
  <pageSetup paperSize="9" scale="60" orientation="portrait" r:id="rId1"/>
  <rowBreaks count="1" manualBreakCount="1">
    <brk id="42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Option Button 1">
              <controlPr defaultSize="0" autoFill="0" autoLine="0" autoPict="0">
                <anchor moveWithCells="1">
                  <from>
                    <xdr:col>3</xdr:col>
                    <xdr:colOff>523875</xdr:colOff>
                    <xdr:row>1</xdr:row>
                    <xdr:rowOff>114300</xdr:rowOff>
                  </from>
                  <to>
                    <xdr:col>4</xdr:col>
                    <xdr:colOff>714375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Option Button 2">
              <controlPr defaultSize="0" autoFill="0" autoLine="0" autoPict="0">
                <anchor moveWithCells="1">
                  <from>
                    <xdr:col>3</xdr:col>
                    <xdr:colOff>523875</xdr:colOff>
                    <xdr:row>2</xdr:row>
                    <xdr:rowOff>104775</xdr:rowOff>
                  </from>
                  <to>
                    <xdr:col>5</xdr:col>
                    <xdr:colOff>238125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Option Button 3">
              <controlPr defaultSize="0" autoFill="0" autoLine="0" autoPict="0">
                <anchor moveWithCells="1">
                  <from>
                    <xdr:col>3</xdr:col>
                    <xdr:colOff>523875</xdr:colOff>
                    <xdr:row>3</xdr:row>
                    <xdr:rowOff>66675</xdr:rowOff>
                  </from>
                  <to>
                    <xdr:col>4</xdr:col>
                    <xdr:colOff>714375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7"/>
  <dimension ref="A1:F337"/>
  <sheetViews>
    <sheetView topLeftCell="A63" workbookViewId="0">
      <selection activeCell="G95" sqref="G95"/>
    </sheetView>
  </sheetViews>
  <sheetFormatPr baseColWidth="10" defaultColWidth="12.5703125" defaultRowHeight="12.75" x14ac:dyDescent="0.2"/>
  <cols>
    <col min="1" max="1" width="8.5703125" style="70" bestFit="1" customWidth="1"/>
    <col min="2" max="2" width="17.7109375" style="70" bestFit="1" customWidth="1"/>
    <col min="3" max="3" width="53" style="70" customWidth="1"/>
    <col min="4" max="4" width="47.5703125" style="70" bestFit="1" customWidth="1"/>
    <col min="5" max="5" width="42.28515625" style="70" customWidth="1"/>
    <col min="6" max="16384" width="12.5703125" style="70"/>
  </cols>
  <sheetData>
    <row r="1" spans="1:6" x14ac:dyDescent="0.2">
      <c r="A1" s="91" t="s">
        <v>48</v>
      </c>
      <c r="B1" s="91" t="s">
        <v>49</v>
      </c>
      <c r="C1" s="91" t="s">
        <v>50</v>
      </c>
      <c r="D1" s="91" t="s">
        <v>51</v>
      </c>
      <c r="E1" s="91" t="s">
        <v>52</v>
      </c>
      <c r="F1" s="90"/>
    </row>
    <row r="2" spans="1:6" ht="13.5" thickBot="1" x14ac:dyDescent="0.25">
      <c r="A2" s="89" t="s">
        <v>53</v>
      </c>
      <c r="B2" s="92">
        <v>1</v>
      </c>
      <c r="C2" s="92"/>
      <c r="D2" s="90"/>
      <c r="E2" s="90"/>
      <c r="F2" s="90"/>
    </row>
    <row r="3" spans="1:6" s="109" customFormat="1" ht="26.25" thickBot="1" x14ac:dyDescent="0.25">
      <c r="A3" s="107"/>
      <c r="B3" s="108" t="s">
        <v>299</v>
      </c>
      <c r="C3" s="111">
        <v>2026</v>
      </c>
      <c r="D3" s="110">
        <f>C3-2000</f>
        <v>26</v>
      </c>
    </row>
    <row r="4" spans="1:6" x14ac:dyDescent="0.2">
      <c r="A4" s="89"/>
      <c r="B4" s="112" t="s">
        <v>54</v>
      </c>
      <c r="C4" s="112" t="s">
        <v>55</v>
      </c>
      <c r="D4" s="112" t="s">
        <v>56</v>
      </c>
      <c r="E4" s="112" t="s">
        <v>57</v>
      </c>
      <c r="F4" s="90"/>
    </row>
    <row r="5" spans="1:6" x14ac:dyDescent="0.2">
      <c r="A5" s="89"/>
      <c r="B5" s="88" t="s">
        <v>300</v>
      </c>
      <c r="C5" s="88" t="s">
        <v>301</v>
      </c>
      <c r="D5" s="88" t="s">
        <v>302</v>
      </c>
      <c r="E5" s="88" t="s">
        <v>303</v>
      </c>
      <c r="F5" s="90"/>
    </row>
    <row r="6" spans="1:6" ht="51" x14ac:dyDescent="0.2">
      <c r="A6" s="89"/>
      <c r="B6" s="115" t="s">
        <v>304</v>
      </c>
      <c r="C6" s="114" t="s">
        <v>305</v>
      </c>
      <c r="D6" s="114" t="s">
        <v>306</v>
      </c>
      <c r="E6" s="114" t="s">
        <v>307</v>
      </c>
      <c r="F6" s="90"/>
    </row>
    <row r="7" spans="1:6" ht="25.5" x14ac:dyDescent="0.2">
      <c r="A7" s="89" t="s">
        <v>58</v>
      </c>
      <c r="B7" s="112" t="s">
        <v>96</v>
      </c>
      <c r="C7" s="112" t="str">
        <f>"Hotel- und Kurbetriebe: Logiernächte im Januar "&amp;$C$3&amp;", nach Destinationen"</f>
        <v>Hotel- und Kurbetriebe: Logiernächte im Januar 2026, nach Destinationen</v>
      </c>
      <c r="D7" s="112" t="str">
        <f>"Manaschis d' hotel e da cura: pernottaziuns il schaner "&amp;$C$3&amp;", tenor destinaziuns"</f>
        <v>Manaschis d' hotel e da cura: pernottaziuns il schaner 2026, tenor destinaziuns</v>
      </c>
      <c r="E7" s="112" t="str">
        <f>"Alberghi e stabilimenti di cura: pernottamenti nel mese di gennaio "&amp;$C$3&amp;", per destinazione"</f>
        <v>Alberghi e stabilimenti di cura: pernottamenti nel mese di gennaio 2026, per destinazione</v>
      </c>
      <c r="F7" s="90"/>
    </row>
    <row r="8" spans="1:6" ht="25.5" x14ac:dyDescent="0.2">
      <c r="A8" s="89"/>
      <c r="B8" s="112" t="s">
        <v>97</v>
      </c>
      <c r="C8" s="112" t="str">
        <f>"Hotel- und Kurbetriebe: Logiernächte im Januar "&amp;$C$3&amp;", nach Herkunft"</f>
        <v>Hotel- und Kurbetriebe: Logiernächte im Januar 2026, nach Herkunft</v>
      </c>
      <c r="D8" s="112" t="str">
        <f>"Manaschis d' hotel e da cura: pernottaziuns il schaner "&amp;$C$3&amp;", tenor la derivanza"</f>
        <v>Manaschis d' hotel e da cura: pernottaziuns il schaner 2026, tenor la derivanza</v>
      </c>
      <c r="E8" s="112" t="str">
        <f>"Alberghi e stabilimenti di cura: pernottamenti nel mese di gennaio "&amp;$C$3&amp;", per provenienza"</f>
        <v>Alberghi e stabilimenti di cura: pernottamenti nel mese di gennaio 2026, per provenienza</v>
      </c>
      <c r="F8" s="90"/>
    </row>
    <row r="9" spans="1:6" ht="38.25" x14ac:dyDescent="0.2">
      <c r="A9" s="89"/>
      <c r="B9" s="112" t="s">
        <v>98</v>
      </c>
      <c r="C9" s="112" t="str">
        <f>"Hotel- und Kurbetriebe: Logiernächte im Januar "&amp;$C$3&amp;", nach Schweizer Tourismusregionen"</f>
        <v>Hotel- und Kurbetriebe: Logiernächte im Januar 2026, nach Schweizer Tourismusregionen</v>
      </c>
      <c r="D9" s="112" t="str">
        <f>"Manaschis d' hotel e da cura: pernottaziuns il schaner "&amp;$C$3&amp;", tenor regiuns turisticas svizras"</f>
        <v>Manaschis d' hotel e da cura: pernottaziuns il schaner 2026, tenor regiuns turisticas svizras</v>
      </c>
      <c r="E9" s="112" t="str">
        <f>"Alberghi e stabilimenti di cura: pernottamenti nel mese di gennaio "&amp;$C$3&amp;", per regioni turistiche svizzere"</f>
        <v>Alberghi e stabilimenti di cura: pernottamenti nel mese di gennaio 2026, per regioni turistiche svizzere</v>
      </c>
      <c r="F9" s="90"/>
    </row>
    <row r="10" spans="1:6" x14ac:dyDescent="0.2">
      <c r="A10" s="89"/>
      <c r="B10" s="89"/>
      <c r="C10" s="89"/>
      <c r="D10" s="89"/>
      <c r="E10" s="89"/>
      <c r="F10" s="90"/>
    </row>
    <row r="11" spans="1:6" x14ac:dyDescent="0.2">
      <c r="A11" s="89" t="s">
        <v>59</v>
      </c>
      <c r="B11" s="112" t="s">
        <v>60</v>
      </c>
      <c r="C11" s="112" t="str">
        <f>"Januar "&amp;$C$3</f>
        <v>Januar 2026</v>
      </c>
      <c r="D11" s="112" t="str">
        <f>"Schaner "&amp;$C$3</f>
        <v>Schaner 2026</v>
      </c>
      <c r="E11" s="112" t="str">
        <f>"Gennaio "&amp;$C$3</f>
        <v>Gennaio 2026</v>
      </c>
      <c r="F11" s="90"/>
    </row>
    <row r="12" spans="1:6" x14ac:dyDescent="0.2">
      <c r="A12" s="89"/>
      <c r="B12" s="112" t="s">
        <v>61</v>
      </c>
      <c r="C12" s="112" t="str">
        <f>"Januar "&amp;$C$3-1</f>
        <v>Januar 2025</v>
      </c>
      <c r="D12" s="112" t="str">
        <f>"Schaner "&amp;$C$3-1</f>
        <v>Schaner 2025</v>
      </c>
      <c r="E12" s="112" t="str">
        <f>"Gennaio "&amp;$C$3-1</f>
        <v>Gennaio 2025</v>
      </c>
      <c r="F12" s="90"/>
    </row>
    <row r="13" spans="1:6" x14ac:dyDescent="0.2">
      <c r="A13" s="89"/>
      <c r="B13" s="112" t="s">
        <v>62</v>
      </c>
      <c r="C13" s="112" t="str">
        <f>"Veränderung "&amp;$D$3&amp;"/"&amp;$D$3-1&amp;" in %"</f>
        <v>Veränderung 26/25 in %</v>
      </c>
      <c r="D13" s="112" t="str">
        <f>"Midament "&amp;$D$3&amp;"/"&amp;$D$3-1&amp;" in %"</f>
        <v>Midament 26/25 in %</v>
      </c>
      <c r="E13" s="112" t="str">
        <f>"Variazione "&amp;$D$3&amp;"/"&amp;$D$3-1&amp;" in %"</f>
        <v>Variazione 26/25 in %</v>
      </c>
      <c r="F13" s="90"/>
    </row>
    <row r="14" spans="1:6" ht="38.25" x14ac:dyDescent="0.2">
      <c r="A14" s="89"/>
      <c r="B14" s="112" t="s">
        <v>126</v>
      </c>
      <c r="C14" s="112" t="s">
        <v>44</v>
      </c>
      <c r="D14" s="112" t="s">
        <v>131</v>
      </c>
      <c r="E14" s="113" t="s">
        <v>132</v>
      </c>
      <c r="F14" s="90"/>
    </row>
    <row r="15" spans="1:6" x14ac:dyDescent="0.2">
      <c r="A15" s="89"/>
      <c r="B15" s="112" t="s">
        <v>127</v>
      </c>
      <c r="C15" s="112"/>
      <c r="D15" s="112"/>
      <c r="E15" s="112"/>
      <c r="F15" s="90"/>
    </row>
    <row r="16" spans="1:6" x14ac:dyDescent="0.2">
      <c r="A16" s="89"/>
      <c r="B16" s="112" t="s">
        <v>128</v>
      </c>
      <c r="C16" s="112"/>
      <c r="D16" s="112"/>
      <c r="E16" s="112"/>
      <c r="F16" s="90"/>
    </row>
    <row r="17" spans="1:6" x14ac:dyDescent="0.2">
      <c r="A17" s="89"/>
      <c r="B17" s="112" t="s">
        <v>129</v>
      </c>
      <c r="C17" s="112" t="str">
        <f>"Veränderung "&amp;$D$3&amp;"/"&amp;$D$3-1&amp;" in %"</f>
        <v>Veränderung 26/25 in %</v>
      </c>
      <c r="D17" s="112" t="str">
        <f>"Midament "&amp;$D$3&amp;"/"&amp;$D$3-1&amp;" in %"</f>
        <v>Midament 26/25 in %</v>
      </c>
      <c r="E17" s="112" t="str">
        <f>"Variazione "&amp;$D$3&amp;"/"&amp;$D$3-1&amp;" in %"</f>
        <v>Variazione 26/25 in %</v>
      </c>
      <c r="F17" s="90"/>
    </row>
    <row r="18" spans="1:6" ht="38.25" x14ac:dyDescent="0.2">
      <c r="A18" s="89"/>
      <c r="B18" s="112" t="s">
        <v>130</v>
      </c>
      <c r="C18" s="112" t="s">
        <v>44</v>
      </c>
      <c r="D18" s="112" t="s">
        <v>131</v>
      </c>
      <c r="E18" s="113" t="s">
        <v>132</v>
      </c>
      <c r="F18" s="90"/>
    </row>
    <row r="19" spans="1:6" x14ac:dyDescent="0.2">
      <c r="A19" s="89"/>
      <c r="B19" s="90"/>
      <c r="C19" s="90"/>
      <c r="D19" s="90"/>
      <c r="E19" s="90"/>
      <c r="F19" s="90"/>
    </row>
    <row r="20" spans="1:6" x14ac:dyDescent="0.2">
      <c r="A20" s="89" t="s">
        <v>58</v>
      </c>
      <c r="B20" s="70" t="s">
        <v>63</v>
      </c>
      <c r="C20" s="70" t="s">
        <v>24</v>
      </c>
      <c r="D20" s="70" t="s">
        <v>161</v>
      </c>
      <c r="E20" s="70" t="s">
        <v>161</v>
      </c>
      <c r="F20" s="90"/>
    </row>
    <row r="21" spans="1:6" x14ac:dyDescent="0.2">
      <c r="A21" s="90"/>
      <c r="B21" s="70" t="s">
        <v>64</v>
      </c>
      <c r="C21" s="70" t="s">
        <v>7</v>
      </c>
      <c r="D21" s="70" t="s">
        <v>7</v>
      </c>
      <c r="E21" s="70" t="s">
        <v>7</v>
      </c>
      <c r="F21" s="90"/>
    </row>
    <row r="22" spans="1:6" x14ac:dyDescent="0.2">
      <c r="A22" s="90"/>
      <c r="B22" s="70" t="s">
        <v>65</v>
      </c>
      <c r="C22" s="70" t="s">
        <v>26</v>
      </c>
      <c r="D22" s="70" t="s">
        <v>26</v>
      </c>
      <c r="E22" s="70" t="s">
        <v>26</v>
      </c>
      <c r="F22" s="90"/>
    </row>
    <row r="23" spans="1:6" x14ac:dyDescent="0.2">
      <c r="A23" s="90"/>
      <c r="B23" s="70" t="s">
        <v>66</v>
      </c>
      <c r="C23" s="70" t="s">
        <v>12</v>
      </c>
      <c r="D23" s="70" t="s">
        <v>162</v>
      </c>
      <c r="E23" s="70" t="s">
        <v>162</v>
      </c>
      <c r="F23" s="90"/>
    </row>
    <row r="24" spans="1:6" x14ac:dyDescent="0.2">
      <c r="A24" s="90"/>
      <c r="B24" s="70" t="s">
        <v>67</v>
      </c>
      <c r="C24" s="70" t="s">
        <v>2</v>
      </c>
      <c r="D24" s="70" t="s">
        <v>2</v>
      </c>
      <c r="E24" s="70" t="s">
        <v>2</v>
      </c>
      <c r="F24" s="90"/>
    </row>
    <row r="25" spans="1:6" x14ac:dyDescent="0.2">
      <c r="A25" s="90"/>
      <c r="B25" s="70" t="s">
        <v>68</v>
      </c>
      <c r="C25" s="70" t="s">
        <v>0</v>
      </c>
      <c r="D25" s="70" t="s">
        <v>0</v>
      </c>
      <c r="E25" s="70" t="s">
        <v>0</v>
      </c>
      <c r="F25" s="90"/>
    </row>
    <row r="26" spans="1:6" x14ac:dyDescent="0.2">
      <c r="A26" s="90"/>
      <c r="B26" s="70" t="s">
        <v>69</v>
      </c>
      <c r="C26" s="70" t="s">
        <v>8</v>
      </c>
      <c r="D26" s="70" t="s">
        <v>8</v>
      </c>
      <c r="E26" s="70" t="s">
        <v>8</v>
      </c>
      <c r="F26" s="90"/>
    </row>
    <row r="27" spans="1:6" x14ac:dyDescent="0.2">
      <c r="A27" s="90"/>
      <c r="B27" s="70" t="s">
        <v>70</v>
      </c>
      <c r="C27" s="70" t="s">
        <v>28</v>
      </c>
      <c r="D27" s="70" t="s">
        <v>28</v>
      </c>
      <c r="E27" s="70" t="s">
        <v>28</v>
      </c>
      <c r="F27" s="90"/>
    </row>
    <row r="28" spans="1:6" x14ac:dyDescent="0.2">
      <c r="A28" s="90"/>
      <c r="B28" s="70" t="s">
        <v>71</v>
      </c>
      <c r="C28" s="70" t="s">
        <v>27</v>
      </c>
      <c r="D28" s="70" t="s">
        <v>27</v>
      </c>
      <c r="E28" s="70" t="s">
        <v>27</v>
      </c>
      <c r="F28" s="90"/>
    </row>
    <row r="29" spans="1:6" x14ac:dyDescent="0.2">
      <c r="A29" s="90"/>
      <c r="B29" s="70" t="s">
        <v>72</v>
      </c>
      <c r="C29" s="70" t="s">
        <v>1</v>
      </c>
      <c r="D29" s="70" t="s">
        <v>1</v>
      </c>
      <c r="E29" s="70" t="s">
        <v>1</v>
      </c>
      <c r="F29" s="90"/>
    </row>
    <row r="30" spans="1:6" x14ac:dyDescent="0.2">
      <c r="A30" s="90"/>
      <c r="B30" s="70" t="s">
        <v>73</v>
      </c>
      <c r="C30" s="70" t="s">
        <v>3</v>
      </c>
      <c r="D30" s="70" t="s">
        <v>3</v>
      </c>
      <c r="E30" s="70" t="s">
        <v>3</v>
      </c>
      <c r="F30" s="90"/>
    </row>
    <row r="31" spans="1:6" x14ac:dyDescent="0.2">
      <c r="A31" s="90"/>
      <c r="B31" s="70" t="s">
        <v>74</v>
      </c>
      <c r="C31" s="70" t="s">
        <v>4</v>
      </c>
      <c r="D31" s="70" t="s">
        <v>4</v>
      </c>
      <c r="E31" s="70" t="s">
        <v>4</v>
      </c>
      <c r="F31" s="90"/>
    </row>
    <row r="32" spans="1:6" x14ac:dyDescent="0.2">
      <c r="A32" s="90"/>
      <c r="B32" s="70" t="s">
        <v>75</v>
      </c>
      <c r="C32" s="70" t="s">
        <v>11</v>
      </c>
      <c r="D32" s="70" t="s">
        <v>11</v>
      </c>
      <c r="E32" s="70" t="s">
        <v>11</v>
      </c>
      <c r="F32" s="90"/>
    </row>
    <row r="33" spans="1:6" x14ac:dyDescent="0.2">
      <c r="A33" s="90"/>
      <c r="B33" s="70" t="s">
        <v>76</v>
      </c>
      <c r="C33" s="70" t="s">
        <v>45</v>
      </c>
      <c r="D33" s="70" t="s">
        <v>45</v>
      </c>
      <c r="E33" s="70" t="s">
        <v>45</v>
      </c>
      <c r="F33" s="90"/>
    </row>
    <row r="34" spans="1:6" x14ac:dyDescent="0.2">
      <c r="A34" s="90"/>
      <c r="B34" s="70" t="s">
        <v>77</v>
      </c>
      <c r="C34" s="70" t="s">
        <v>25</v>
      </c>
      <c r="D34" s="70" t="s">
        <v>25</v>
      </c>
      <c r="E34" s="70" t="s">
        <v>25</v>
      </c>
      <c r="F34" s="90"/>
    </row>
    <row r="35" spans="1:6" x14ac:dyDescent="0.2">
      <c r="A35" s="90"/>
      <c r="B35" s="70" t="s">
        <v>78</v>
      </c>
      <c r="C35" s="70" t="s">
        <v>5</v>
      </c>
      <c r="D35" s="70" t="s">
        <v>5</v>
      </c>
      <c r="E35" s="70" t="s">
        <v>5</v>
      </c>
      <c r="F35" s="90"/>
    </row>
    <row r="36" spans="1:6" x14ac:dyDescent="0.2">
      <c r="A36" s="90"/>
      <c r="B36" s="70" t="s">
        <v>79</v>
      </c>
      <c r="C36" s="70" t="s">
        <v>9</v>
      </c>
      <c r="D36" s="70" t="s">
        <v>9</v>
      </c>
      <c r="E36" s="70" t="s">
        <v>9</v>
      </c>
      <c r="F36" s="90"/>
    </row>
    <row r="37" spans="1:6" x14ac:dyDescent="0.2">
      <c r="A37" s="90"/>
      <c r="B37" s="70" t="s">
        <v>80</v>
      </c>
      <c r="C37" s="70" t="s">
        <v>6</v>
      </c>
      <c r="D37" s="70" t="s">
        <v>6</v>
      </c>
      <c r="E37" s="70" t="s">
        <v>6</v>
      </c>
      <c r="F37" s="90"/>
    </row>
    <row r="38" spans="1:6" x14ac:dyDescent="0.2">
      <c r="A38" s="90"/>
      <c r="B38" s="70" t="s">
        <v>81</v>
      </c>
      <c r="C38" s="70" t="s">
        <v>10</v>
      </c>
      <c r="D38" s="70" t="s">
        <v>150</v>
      </c>
      <c r="E38" s="70" t="s">
        <v>160</v>
      </c>
      <c r="F38" s="90"/>
    </row>
    <row r="39" spans="1:6" x14ac:dyDescent="0.2">
      <c r="A39" s="90"/>
      <c r="B39" s="70" t="s">
        <v>82</v>
      </c>
      <c r="C39" s="70" t="s">
        <v>13</v>
      </c>
      <c r="D39" s="70" t="s">
        <v>137</v>
      </c>
      <c r="E39" s="70" t="s">
        <v>151</v>
      </c>
      <c r="F39" s="90"/>
    </row>
    <row r="40" spans="1:6" x14ac:dyDescent="0.2">
      <c r="A40" s="90"/>
      <c r="B40" s="70" t="s">
        <v>83</v>
      </c>
      <c r="C40" s="70" t="s">
        <v>14</v>
      </c>
      <c r="D40" s="70" t="s">
        <v>138</v>
      </c>
      <c r="E40" s="70" t="s">
        <v>138</v>
      </c>
      <c r="F40" s="90"/>
    </row>
    <row r="41" spans="1:6" x14ac:dyDescent="0.2">
      <c r="A41" s="90"/>
      <c r="B41" s="70" t="s">
        <v>84</v>
      </c>
      <c r="C41" s="70" t="s">
        <v>40</v>
      </c>
      <c r="D41" s="70" t="s">
        <v>145</v>
      </c>
      <c r="E41" s="70" t="s">
        <v>156</v>
      </c>
      <c r="F41" s="90"/>
    </row>
    <row r="42" spans="1:6" x14ac:dyDescent="0.2">
      <c r="A42" s="90"/>
      <c r="B42" s="70" t="s">
        <v>85</v>
      </c>
      <c r="C42" s="70" t="s">
        <v>23</v>
      </c>
      <c r="D42" s="70" t="s">
        <v>144</v>
      </c>
      <c r="E42" s="70" t="s">
        <v>155</v>
      </c>
      <c r="F42" s="90"/>
    </row>
    <row r="43" spans="1:6" x14ac:dyDescent="0.2">
      <c r="A43" s="90"/>
      <c r="B43" s="70" t="s">
        <v>86</v>
      </c>
      <c r="C43" s="70" t="s">
        <v>17</v>
      </c>
      <c r="D43" s="70" t="s">
        <v>143</v>
      </c>
      <c r="E43" s="70" t="s">
        <v>154</v>
      </c>
      <c r="F43" s="90"/>
    </row>
    <row r="44" spans="1:6" x14ac:dyDescent="0.2">
      <c r="A44" s="90"/>
      <c r="B44" s="70" t="s">
        <v>87</v>
      </c>
      <c r="C44" s="70" t="s">
        <v>15</v>
      </c>
      <c r="D44" s="70" t="s">
        <v>142</v>
      </c>
      <c r="E44" s="70" t="s">
        <v>153</v>
      </c>
      <c r="F44" s="90"/>
    </row>
    <row r="45" spans="1:6" x14ac:dyDescent="0.2">
      <c r="A45" s="90"/>
      <c r="B45" s="70" t="s">
        <v>88</v>
      </c>
      <c r="C45" s="70" t="s">
        <v>19</v>
      </c>
      <c r="D45" s="70" t="s">
        <v>141</v>
      </c>
      <c r="E45" s="70" t="s">
        <v>141</v>
      </c>
      <c r="F45" s="90"/>
    </row>
    <row r="46" spans="1:6" x14ac:dyDescent="0.2">
      <c r="A46" s="90"/>
      <c r="B46" s="70" t="s">
        <v>89</v>
      </c>
      <c r="C46" s="70" t="s">
        <v>16</v>
      </c>
      <c r="D46" s="70" t="s">
        <v>139</v>
      </c>
      <c r="E46" s="70" t="s">
        <v>139</v>
      </c>
      <c r="F46" s="90"/>
    </row>
    <row r="47" spans="1:6" x14ac:dyDescent="0.2">
      <c r="A47" s="90"/>
      <c r="B47" s="70" t="s">
        <v>99</v>
      </c>
      <c r="C47" s="70" t="s">
        <v>18</v>
      </c>
      <c r="D47" s="70" t="s">
        <v>140</v>
      </c>
      <c r="E47" s="70" t="s">
        <v>152</v>
      </c>
      <c r="F47" s="90"/>
    </row>
    <row r="48" spans="1:6" x14ac:dyDescent="0.2">
      <c r="A48" s="90"/>
      <c r="B48" s="70" t="s">
        <v>100</v>
      </c>
      <c r="C48" s="70" t="s">
        <v>308</v>
      </c>
      <c r="D48" s="70" t="s">
        <v>325</v>
      </c>
      <c r="E48" s="70" t="s">
        <v>325</v>
      </c>
      <c r="F48" s="90"/>
    </row>
    <row r="49" spans="1:6" x14ac:dyDescent="0.2">
      <c r="A49" s="90"/>
      <c r="B49" s="70" t="s">
        <v>101</v>
      </c>
      <c r="C49" s="70" t="s">
        <v>585</v>
      </c>
      <c r="D49" s="70" t="s">
        <v>585</v>
      </c>
      <c r="E49" s="70" t="s">
        <v>585</v>
      </c>
      <c r="F49" s="90"/>
    </row>
    <row r="50" spans="1:6" x14ac:dyDescent="0.2">
      <c r="A50" s="90"/>
      <c r="B50" s="70" t="s">
        <v>102</v>
      </c>
      <c r="C50" s="70" t="s">
        <v>309</v>
      </c>
      <c r="D50" s="70" t="s">
        <v>309</v>
      </c>
      <c r="E50" s="70" t="s">
        <v>326</v>
      </c>
      <c r="F50" s="90"/>
    </row>
    <row r="51" spans="1:6" x14ac:dyDescent="0.2">
      <c r="A51" s="90"/>
      <c r="B51" s="70" t="s">
        <v>103</v>
      </c>
      <c r="C51" s="70" t="s">
        <v>310</v>
      </c>
      <c r="D51" s="70" t="s">
        <v>327</v>
      </c>
      <c r="E51" s="70" t="s">
        <v>327</v>
      </c>
      <c r="F51" s="90"/>
    </row>
    <row r="52" spans="1:6" x14ac:dyDescent="0.2">
      <c r="A52" s="90"/>
      <c r="B52" s="70" t="s">
        <v>104</v>
      </c>
      <c r="C52" s="70" t="s">
        <v>20</v>
      </c>
      <c r="D52" s="70" t="s">
        <v>147</v>
      </c>
      <c r="E52" s="70" t="s">
        <v>158</v>
      </c>
      <c r="F52" s="90"/>
    </row>
    <row r="53" spans="1:6" x14ac:dyDescent="0.2">
      <c r="A53" s="90"/>
      <c r="B53" s="70" t="s">
        <v>105</v>
      </c>
      <c r="C53" s="70" t="s">
        <v>311</v>
      </c>
      <c r="D53" s="70" t="s">
        <v>311</v>
      </c>
      <c r="E53" s="70" t="s">
        <v>328</v>
      </c>
      <c r="F53" s="90"/>
    </row>
    <row r="54" spans="1:6" x14ac:dyDescent="0.2">
      <c r="A54" s="90"/>
      <c r="B54" s="70" t="s">
        <v>106</v>
      </c>
      <c r="C54" s="70" t="s">
        <v>21</v>
      </c>
      <c r="D54" s="70" t="s">
        <v>146</v>
      </c>
      <c r="E54" s="70" t="s">
        <v>157</v>
      </c>
      <c r="F54" s="90"/>
    </row>
    <row r="55" spans="1:6" x14ac:dyDescent="0.2">
      <c r="A55" s="90"/>
      <c r="B55" s="70" t="s">
        <v>107</v>
      </c>
      <c r="C55" s="70" t="s">
        <v>22</v>
      </c>
      <c r="D55" s="70" t="s">
        <v>149</v>
      </c>
      <c r="E55" s="70" t="s">
        <v>159</v>
      </c>
      <c r="F55" s="90"/>
    </row>
    <row r="56" spans="1:6" x14ac:dyDescent="0.2">
      <c r="A56" s="90"/>
      <c r="B56" s="70" t="s">
        <v>108</v>
      </c>
      <c r="C56" s="70" t="s">
        <v>312</v>
      </c>
      <c r="D56" s="70" t="s">
        <v>148</v>
      </c>
      <c r="E56" s="70" t="s">
        <v>148</v>
      </c>
      <c r="F56" s="90"/>
    </row>
    <row r="57" spans="1:6" x14ac:dyDescent="0.2">
      <c r="A57" s="90"/>
      <c r="B57" s="70" t="s">
        <v>109</v>
      </c>
      <c r="C57" s="70" t="s">
        <v>351</v>
      </c>
      <c r="D57" s="70" t="s">
        <v>357</v>
      </c>
      <c r="E57" s="70" t="s">
        <v>362</v>
      </c>
      <c r="F57" s="90"/>
    </row>
    <row r="58" spans="1:6" x14ac:dyDescent="0.2">
      <c r="A58" s="90"/>
      <c r="B58" s="70" t="s">
        <v>110</v>
      </c>
      <c r="C58" s="70" t="s">
        <v>352</v>
      </c>
      <c r="D58" s="70" t="s">
        <v>358</v>
      </c>
      <c r="E58" s="70" t="s">
        <v>358</v>
      </c>
      <c r="F58" s="90"/>
    </row>
    <row r="59" spans="1:6" x14ac:dyDescent="0.2">
      <c r="A59" s="90"/>
      <c r="B59" s="70" t="s">
        <v>111</v>
      </c>
      <c r="C59" s="70" t="s">
        <v>353</v>
      </c>
      <c r="D59" s="70" t="s">
        <v>359</v>
      </c>
      <c r="E59" s="70" t="s">
        <v>363</v>
      </c>
      <c r="F59" s="90"/>
    </row>
    <row r="60" spans="1:6" x14ac:dyDescent="0.2">
      <c r="A60" s="90"/>
      <c r="B60" s="70" t="s">
        <v>112</v>
      </c>
      <c r="C60" s="70" t="s">
        <v>354</v>
      </c>
      <c r="D60" s="70" t="s">
        <v>360</v>
      </c>
      <c r="E60" s="70" t="s">
        <v>360</v>
      </c>
      <c r="F60" s="90"/>
    </row>
    <row r="61" spans="1:6" x14ac:dyDescent="0.2">
      <c r="A61" s="90"/>
      <c r="B61" s="70" t="s">
        <v>113</v>
      </c>
      <c r="C61" s="70" t="s">
        <v>356</v>
      </c>
      <c r="D61" s="70" t="s">
        <v>356</v>
      </c>
      <c r="E61" s="70" t="s">
        <v>364</v>
      </c>
      <c r="F61" s="90"/>
    </row>
    <row r="62" spans="1:6" x14ac:dyDescent="0.2">
      <c r="A62" s="90"/>
      <c r="B62" s="70" t="s">
        <v>114</v>
      </c>
      <c r="C62" s="70" t="s">
        <v>355</v>
      </c>
      <c r="D62" s="70" t="s">
        <v>361</v>
      </c>
      <c r="E62" s="70" t="s">
        <v>365</v>
      </c>
      <c r="F62" s="90"/>
    </row>
    <row r="63" spans="1:6" x14ac:dyDescent="0.2">
      <c r="A63" s="90"/>
      <c r="B63" s="70" t="s">
        <v>115</v>
      </c>
      <c r="C63" s="70" t="s">
        <v>324</v>
      </c>
      <c r="D63" s="70" t="s">
        <v>329</v>
      </c>
      <c r="E63" s="70" t="s">
        <v>330</v>
      </c>
      <c r="F63" s="90"/>
    </row>
    <row r="64" spans="1:6" x14ac:dyDescent="0.2">
      <c r="A64" s="90"/>
      <c r="B64" s="70" t="s">
        <v>343</v>
      </c>
      <c r="C64" s="70" t="s">
        <v>313</v>
      </c>
      <c r="D64" s="70" t="s">
        <v>336</v>
      </c>
      <c r="E64" s="70" t="s">
        <v>342</v>
      </c>
      <c r="F64" s="90"/>
    </row>
    <row r="65" spans="1:6" x14ac:dyDescent="0.2">
      <c r="A65" s="90"/>
      <c r="B65" s="70" t="s">
        <v>344</v>
      </c>
      <c r="C65" s="70" t="s">
        <v>584</v>
      </c>
      <c r="D65" s="70" t="s">
        <v>586</v>
      </c>
      <c r="E65" s="70" t="s">
        <v>332</v>
      </c>
      <c r="F65" s="90"/>
    </row>
    <row r="66" spans="1:6" x14ac:dyDescent="0.2">
      <c r="A66" s="90"/>
      <c r="B66" s="70" t="s">
        <v>345</v>
      </c>
      <c r="C66" s="70" t="s">
        <v>314</v>
      </c>
      <c r="D66" s="70" t="s">
        <v>337</v>
      </c>
      <c r="E66" s="70" t="s">
        <v>587</v>
      </c>
      <c r="F66" s="90"/>
    </row>
    <row r="67" spans="1:6" x14ac:dyDescent="0.2">
      <c r="A67" s="90"/>
      <c r="B67" s="70" t="s">
        <v>346</v>
      </c>
      <c r="C67" s="70" t="s">
        <v>315</v>
      </c>
      <c r="D67" s="70" t="s">
        <v>340</v>
      </c>
      <c r="E67" s="70" t="s">
        <v>333</v>
      </c>
      <c r="F67" s="90"/>
    </row>
    <row r="68" spans="1:6" x14ac:dyDescent="0.2">
      <c r="A68" s="90"/>
      <c r="B68" s="70" t="s">
        <v>347</v>
      </c>
      <c r="C68" s="70" t="s">
        <v>316</v>
      </c>
      <c r="D68" s="70" t="s">
        <v>341</v>
      </c>
      <c r="E68" s="70" t="s">
        <v>334</v>
      </c>
      <c r="F68" s="90"/>
    </row>
    <row r="69" spans="1:6" x14ac:dyDescent="0.2">
      <c r="A69" s="90"/>
      <c r="B69" s="70" t="s">
        <v>348</v>
      </c>
      <c r="C69" s="70" t="s">
        <v>317</v>
      </c>
      <c r="D69" s="70" t="s">
        <v>338</v>
      </c>
      <c r="E69" s="70" t="s">
        <v>335</v>
      </c>
      <c r="F69" s="90"/>
    </row>
    <row r="70" spans="1:6" x14ac:dyDescent="0.2">
      <c r="A70" s="90"/>
      <c r="B70" s="70" t="s">
        <v>349</v>
      </c>
      <c r="C70" s="70" t="s">
        <v>318</v>
      </c>
      <c r="D70" s="70" t="s">
        <v>339</v>
      </c>
      <c r="E70" s="70" t="s">
        <v>331</v>
      </c>
      <c r="F70" s="90"/>
    </row>
    <row r="71" spans="1:6" x14ac:dyDescent="0.2">
      <c r="A71" s="90"/>
      <c r="B71" s="70" t="s">
        <v>350</v>
      </c>
      <c r="C71" s="70" t="s">
        <v>439</v>
      </c>
      <c r="D71" s="70" t="s">
        <v>438</v>
      </c>
      <c r="E71" s="70" t="s">
        <v>437</v>
      </c>
      <c r="F71" s="90"/>
    </row>
    <row r="72" spans="1:6" x14ac:dyDescent="0.2">
      <c r="A72" s="90"/>
      <c r="B72" s="70" t="s">
        <v>436</v>
      </c>
      <c r="C72" s="70" t="s">
        <v>440</v>
      </c>
      <c r="D72" s="70" t="s">
        <v>441</v>
      </c>
      <c r="E72" s="70" t="s">
        <v>442</v>
      </c>
      <c r="F72" s="90"/>
    </row>
    <row r="73" spans="1:6" x14ac:dyDescent="0.2">
      <c r="A73" s="90"/>
      <c r="B73" s="70" t="s">
        <v>116</v>
      </c>
      <c r="C73" s="70" t="s">
        <v>10</v>
      </c>
      <c r="D73" s="70" t="s">
        <v>150</v>
      </c>
      <c r="E73" s="70" t="s">
        <v>160</v>
      </c>
      <c r="F73" s="90"/>
    </row>
    <row r="74" spans="1:6" x14ac:dyDescent="0.2">
      <c r="A74" s="90"/>
      <c r="B74" s="70" t="s">
        <v>117</v>
      </c>
      <c r="C74" s="70" t="s">
        <v>46</v>
      </c>
      <c r="D74" s="70" t="s">
        <v>163</v>
      </c>
      <c r="E74" s="70" t="s">
        <v>164</v>
      </c>
      <c r="F74" s="90"/>
    </row>
    <row r="75" spans="1:6" x14ac:dyDescent="0.2">
      <c r="A75" s="90"/>
      <c r="B75" s="70" t="s">
        <v>118</v>
      </c>
      <c r="C75" s="70" t="s">
        <v>35</v>
      </c>
      <c r="D75" s="70" t="s">
        <v>165</v>
      </c>
      <c r="E75" s="70" t="s">
        <v>166</v>
      </c>
      <c r="F75" s="90"/>
    </row>
    <row r="76" spans="1:6" x14ac:dyDescent="0.2">
      <c r="A76" s="90"/>
      <c r="B76" s="70" t="s">
        <v>119</v>
      </c>
      <c r="C76" s="70" t="s">
        <v>36</v>
      </c>
      <c r="D76" s="70" t="s">
        <v>167</v>
      </c>
      <c r="E76" s="70" t="s">
        <v>168</v>
      </c>
      <c r="F76" s="90"/>
    </row>
    <row r="77" spans="1:6" x14ac:dyDescent="0.2">
      <c r="A77" s="90"/>
      <c r="B77" s="70" t="s">
        <v>120</v>
      </c>
      <c r="C77" s="70" t="s">
        <v>38</v>
      </c>
      <c r="D77" s="70" t="s">
        <v>169</v>
      </c>
      <c r="E77" s="70" t="s">
        <v>170</v>
      </c>
      <c r="F77" s="90"/>
    </row>
    <row r="78" spans="1:6" x14ac:dyDescent="0.2">
      <c r="A78" s="90"/>
      <c r="B78" s="70" t="s">
        <v>121</v>
      </c>
      <c r="C78" s="70" t="s">
        <v>30</v>
      </c>
      <c r="D78" s="70" t="s">
        <v>171</v>
      </c>
      <c r="E78" s="70" t="s">
        <v>172</v>
      </c>
      <c r="F78" s="90"/>
    </row>
    <row r="79" spans="1:6" x14ac:dyDescent="0.2">
      <c r="A79" s="90"/>
      <c r="B79" s="70" t="s">
        <v>122</v>
      </c>
      <c r="C79" s="70" t="s">
        <v>10</v>
      </c>
      <c r="D79" s="70" t="s">
        <v>150</v>
      </c>
      <c r="E79" s="70" t="s">
        <v>160</v>
      </c>
      <c r="F79" s="90"/>
    </row>
    <row r="80" spans="1:6" x14ac:dyDescent="0.2">
      <c r="A80" s="90"/>
      <c r="B80" s="70" t="s">
        <v>123</v>
      </c>
      <c r="C80" s="70" t="s">
        <v>37</v>
      </c>
      <c r="D80" s="70" t="s">
        <v>173</v>
      </c>
      <c r="E80" s="70" t="s">
        <v>174</v>
      </c>
      <c r="F80" s="90"/>
    </row>
    <row r="81" spans="1:6" x14ac:dyDescent="0.2">
      <c r="A81" s="90"/>
      <c r="B81" s="70" t="s">
        <v>124</v>
      </c>
      <c r="C81" s="70" t="s">
        <v>34</v>
      </c>
      <c r="D81" s="70" t="s">
        <v>175</v>
      </c>
      <c r="E81" s="70" t="s">
        <v>176</v>
      </c>
      <c r="F81" s="90"/>
    </row>
    <row r="82" spans="1:6" x14ac:dyDescent="0.2">
      <c r="A82" s="90"/>
      <c r="B82" s="70" t="s">
        <v>125</v>
      </c>
      <c r="C82" s="70" t="s">
        <v>29</v>
      </c>
      <c r="D82" s="70" t="s">
        <v>177</v>
      </c>
      <c r="E82" s="70" t="s">
        <v>178</v>
      </c>
      <c r="F82" s="90"/>
    </row>
    <row r="83" spans="1:6" x14ac:dyDescent="0.2">
      <c r="A83" s="90"/>
      <c r="B83" s="70" t="s">
        <v>319</v>
      </c>
      <c r="C83" s="70" t="s">
        <v>32</v>
      </c>
      <c r="D83" s="70" t="s">
        <v>32</v>
      </c>
      <c r="E83" s="70" t="s">
        <v>179</v>
      </c>
      <c r="F83" s="90"/>
    </row>
    <row r="84" spans="1:6" x14ac:dyDescent="0.2">
      <c r="A84" s="90"/>
      <c r="B84" s="70" t="s">
        <v>320</v>
      </c>
      <c r="C84" s="70" t="s">
        <v>41</v>
      </c>
      <c r="D84" s="70" t="s">
        <v>182</v>
      </c>
      <c r="E84" s="70" t="s">
        <v>183</v>
      </c>
      <c r="F84" s="90"/>
    </row>
    <row r="85" spans="1:6" x14ac:dyDescent="0.2">
      <c r="A85" s="90"/>
      <c r="B85" s="70" t="s">
        <v>321</v>
      </c>
      <c r="C85" s="70" t="s">
        <v>31</v>
      </c>
      <c r="D85" s="70" t="s">
        <v>180</v>
      </c>
      <c r="E85" s="70" t="s">
        <v>181</v>
      </c>
      <c r="F85" s="90"/>
    </row>
    <row r="86" spans="1:6" x14ac:dyDescent="0.2">
      <c r="A86" s="90"/>
      <c r="B86" s="70" t="s">
        <v>322</v>
      </c>
      <c r="C86" s="70" t="s">
        <v>33</v>
      </c>
      <c r="D86" s="70" t="s">
        <v>184</v>
      </c>
      <c r="E86" s="70" t="s">
        <v>185</v>
      </c>
      <c r="F86" s="90"/>
    </row>
    <row r="87" spans="1:6" x14ac:dyDescent="0.2">
      <c r="A87" s="90"/>
      <c r="B87" s="70" t="s">
        <v>323</v>
      </c>
      <c r="C87" s="70" t="s">
        <v>13</v>
      </c>
      <c r="D87" s="70" t="s">
        <v>137</v>
      </c>
      <c r="E87" s="70" t="s">
        <v>151</v>
      </c>
      <c r="F87" s="90"/>
    </row>
    <row r="88" spans="1:6" x14ac:dyDescent="0.2">
      <c r="A88" s="90"/>
      <c r="B88" s="90"/>
      <c r="C88" s="90"/>
      <c r="D88" s="90"/>
      <c r="E88" s="90"/>
      <c r="F88" s="90"/>
    </row>
    <row r="89" spans="1:6" ht="25.5" x14ac:dyDescent="0.2">
      <c r="A89" s="89"/>
      <c r="B89" s="70" t="s">
        <v>90</v>
      </c>
      <c r="C89" s="70" t="s">
        <v>39</v>
      </c>
      <c r="D89" s="70" t="s">
        <v>133</v>
      </c>
      <c r="E89" s="93" t="s">
        <v>136</v>
      </c>
      <c r="F89" s="90"/>
    </row>
    <row r="90" spans="1:6" ht="25.5" x14ac:dyDescent="0.2">
      <c r="A90" s="89"/>
      <c r="B90" s="70" t="s">
        <v>366</v>
      </c>
      <c r="C90" s="70" t="s">
        <v>367</v>
      </c>
      <c r="D90" s="70" t="s">
        <v>369</v>
      </c>
      <c r="E90" s="93" t="s">
        <v>368</v>
      </c>
      <c r="F90" s="90"/>
    </row>
    <row r="91" spans="1:6" ht="25.5" x14ac:dyDescent="0.2">
      <c r="A91" s="90"/>
      <c r="B91" s="70" t="s">
        <v>91</v>
      </c>
      <c r="C91" s="70" t="s">
        <v>43</v>
      </c>
      <c r="D91" s="70" t="s">
        <v>134</v>
      </c>
      <c r="E91" s="93" t="s">
        <v>135</v>
      </c>
      <c r="F91" s="90"/>
    </row>
    <row r="92" spans="1:6" ht="25.5" x14ac:dyDescent="0.2">
      <c r="A92" s="90"/>
      <c r="B92" s="88" t="s">
        <v>92</v>
      </c>
      <c r="C92" s="88" t="s">
        <v>630</v>
      </c>
      <c r="D92" s="88" t="s">
        <v>631</v>
      </c>
      <c r="E92" s="88" t="s">
        <v>632</v>
      </c>
      <c r="F92" s="90"/>
    </row>
    <row r="93" spans="1:6" x14ac:dyDescent="0.2">
      <c r="A93" s="90"/>
      <c r="B93" s="90"/>
      <c r="C93" s="90"/>
      <c r="D93" s="90"/>
      <c r="E93" s="90"/>
      <c r="F93" s="90"/>
    </row>
    <row r="94" spans="1:6" x14ac:dyDescent="0.2">
      <c r="A94" s="90" t="s">
        <v>59</v>
      </c>
      <c r="B94" s="70" t="s">
        <v>93</v>
      </c>
      <c r="C94" s="70" t="s">
        <v>95</v>
      </c>
      <c r="D94" s="70" t="s">
        <v>187</v>
      </c>
      <c r="E94" s="70" t="s">
        <v>188</v>
      </c>
      <c r="F94" s="90"/>
    </row>
    <row r="95" spans="1:6" x14ac:dyDescent="0.2">
      <c r="A95" s="90" t="s">
        <v>58</v>
      </c>
      <c r="B95" s="88" t="s">
        <v>94</v>
      </c>
      <c r="C95" s="94" t="s">
        <v>627</v>
      </c>
      <c r="D95" s="94" t="s">
        <v>628</v>
      </c>
      <c r="E95" s="94" t="s">
        <v>629</v>
      </c>
      <c r="F95" s="90"/>
    </row>
    <row r="96" spans="1:6" ht="13.5" thickBot="1" x14ac:dyDescent="0.25">
      <c r="A96" s="105"/>
      <c r="B96" s="105"/>
      <c r="C96" s="105"/>
      <c r="D96" s="105"/>
      <c r="E96" s="105"/>
      <c r="F96" s="90"/>
    </row>
    <row r="97" spans="1:6" x14ac:dyDescent="0.2">
      <c r="A97" s="89"/>
      <c r="B97" s="92"/>
      <c r="C97" s="92"/>
      <c r="D97" s="90"/>
      <c r="E97" s="90"/>
      <c r="F97" s="90"/>
    </row>
    <row r="98" spans="1:6" ht="25.5" x14ac:dyDescent="0.2">
      <c r="A98" s="89" t="s">
        <v>189</v>
      </c>
      <c r="B98" s="112" t="s">
        <v>190</v>
      </c>
      <c r="C98" s="112" t="str">
        <f>"Hotel- und Kurbetriebe: Logiernächte im Februar "&amp;$C$3&amp;", nach Destinationen"</f>
        <v>Hotel- und Kurbetriebe: Logiernächte im Februar 2026, nach Destinationen</v>
      </c>
      <c r="D98" s="112" t="str">
        <f>"Manaschis d' hotel e da cura: pernottaziuns il fevrer "&amp;$C$3&amp;", tenor destinaziuns"</f>
        <v>Manaschis d' hotel e da cura: pernottaziuns il fevrer 2026, tenor destinaziuns</v>
      </c>
      <c r="E98" s="112" t="str">
        <f>"Alberghi e stabilimenti di cura: pernottamenti nel mese di febbraio "&amp;$C$3&amp;", per destinazione"</f>
        <v>Alberghi e stabilimenti di cura: pernottamenti nel mese di febbraio 2026, per destinazione</v>
      </c>
      <c r="F98" s="90"/>
    </row>
    <row r="99" spans="1:6" ht="25.5" x14ac:dyDescent="0.2">
      <c r="A99" s="89"/>
      <c r="B99" s="112" t="s">
        <v>199</v>
      </c>
      <c r="C99" s="112" t="str">
        <f>"Hotel- und Kurbetriebe: Logiernächte im Februar "&amp;$C$3&amp;", nach Herkunft"</f>
        <v>Hotel- und Kurbetriebe: Logiernächte im Februar 2026, nach Herkunft</v>
      </c>
      <c r="D99" s="112" t="str">
        <f>"Manaschis d' hotel e da cura: pernottaziuns il fevrer "&amp;$C$3&amp;", tenor la derivanza"</f>
        <v>Manaschis d' hotel e da cura: pernottaziuns il fevrer 2026, tenor la derivanza</v>
      </c>
      <c r="E99" s="112" t="str">
        <f>"Alberghi e stabilimenti di cura: pernottamenti nel mese di febbraio "&amp;$C$3&amp;", per provenienza"</f>
        <v>Alberghi e stabilimenti di cura: pernottamenti nel mese di febbraio 2026, per provenienza</v>
      </c>
      <c r="F99" s="90"/>
    </row>
    <row r="100" spans="1:6" ht="38.25" x14ac:dyDescent="0.2">
      <c r="A100" s="89"/>
      <c r="B100" s="112" t="s">
        <v>200</v>
      </c>
      <c r="C100" s="112" t="str">
        <f>"Hotel- und Kurbetriebe: Logiernächte im Februar "&amp;$C$3&amp;", nach Schweizer Tourismusregionen"</f>
        <v>Hotel- und Kurbetriebe: Logiernächte im Februar 2026, nach Schweizer Tourismusregionen</v>
      </c>
      <c r="D100" s="112" t="str">
        <f>"Manaschis d' hotel e da cura: pernottaziuns il fevrer "&amp;$C$3&amp;", tenor regiuns turisticas svizras"</f>
        <v>Manaschis d' hotel e da cura: pernottaziuns il fevrer 2026, tenor regiuns turisticas svizras</v>
      </c>
      <c r="E100" s="112" t="str">
        <f>"Alberghi e stabilimenti di cura: pernottamenti nel mese di febbraio "&amp;$C$3&amp;", per regioni turistiche svizzere"</f>
        <v>Alberghi e stabilimenti di cura: pernottamenti nel mese di febbraio 2026, per regioni turistiche svizzere</v>
      </c>
      <c r="F100" s="90"/>
    </row>
    <row r="101" spans="1:6" x14ac:dyDescent="0.2">
      <c r="A101" s="89"/>
      <c r="B101" s="89"/>
      <c r="C101" s="89"/>
      <c r="D101" s="89"/>
      <c r="E101" s="89"/>
      <c r="F101" s="90"/>
    </row>
    <row r="102" spans="1:6" x14ac:dyDescent="0.2">
      <c r="A102" s="89"/>
      <c r="B102" s="112" t="s">
        <v>201</v>
      </c>
      <c r="C102" s="112" t="str">
        <f>"Februar "&amp;$C$3</f>
        <v>Februar 2026</v>
      </c>
      <c r="D102" s="112" t="str">
        <f>"Fevrer "&amp;$C$3</f>
        <v>Fevrer 2026</v>
      </c>
      <c r="E102" s="112" t="str">
        <f>"Febbraio "&amp;$C$3</f>
        <v>Febbraio 2026</v>
      </c>
      <c r="F102" s="90"/>
    </row>
    <row r="103" spans="1:6" x14ac:dyDescent="0.2">
      <c r="A103" s="89"/>
      <c r="B103" s="112" t="s">
        <v>202</v>
      </c>
      <c r="C103" s="112" t="str">
        <f>"Februar "&amp;$C$3-1</f>
        <v>Februar 2025</v>
      </c>
      <c r="D103" s="112" t="str">
        <f>"Fevrer "&amp;$C$3-1</f>
        <v>Fevrer 2025</v>
      </c>
      <c r="E103" s="112" t="str">
        <f>"Febbraio "&amp;$C$3-1</f>
        <v>Febbraio 2025</v>
      </c>
      <c r="F103" s="90"/>
    </row>
    <row r="104" spans="1:6" x14ac:dyDescent="0.2">
      <c r="A104" s="89"/>
      <c r="B104" s="112" t="s">
        <v>203</v>
      </c>
      <c r="C104" s="112" t="str">
        <f>"Januar-Februar "&amp;$D$3</f>
        <v>Januar-Februar 26</v>
      </c>
      <c r="D104" s="112" t="str">
        <f>"Schaner-fevrer "&amp;$D$3</f>
        <v>Schaner-fevrer 26</v>
      </c>
      <c r="E104" s="112" t="str">
        <f>"Gennaio-febbraio "&amp;$D$3</f>
        <v>Gennaio-febbraio 26</v>
      </c>
      <c r="F104" s="90"/>
    </row>
    <row r="105" spans="1:6" x14ac:dyDescent="0.2">
      <c r="A105" s="89"/>
      <c r="B105" s="112" t="s">
        <v>204</v>
      </c>
      <c r="C105" s="112" t="str">
        <f>"Januar-Februar "&amp;$D$3-1</f>
        <v>Januar-Februar 25</v>
      </c>
      <c r="D105" s="112" t="str">
        <f>"Schaner-fevrer "&amp;$D$3-1</f>
        <v>Schaner-fevrer 25</v>
      </c>
      <c r="E105" s="112" t="str">
        <f>"Gennaio-febbraio "&amp;$D$3-1</f>
        <v>Gennaio-febbraio 25</v>
      </c>
      <c r="F105" s="90"/>
    </row>
    <row r="106" spans="1:6" x14ac:dyDescent="0.2">
      <c r="A106" s="89"/>
      <c r="B106" s="90"/>
      <c r="C106" s="90"/>
      <c r="D106" s="90"/>
      <c r="E106" s="90"/>
      <c r="F106" s="90"/>
    </row>
    <row r="107" spans="1:6" ht="25.5" x14ac:dyDescent="0.2">
      <c r="A107" s="90"/>
      <c r="B107" s="88" t="s">
        <v>205</v>
      </c>
      <c r="C107" s="88" t="s">
        <v>588</v>
      </c>
      <c r="D107" s="88" t="s">
        <v>589</v>
      </c>
      <c r="E107" s="88" t="s">
        <v>590</v>
      </c>
      <c r="F107" s="90"/>
    </row>
    <row r="108" spans="1:6" x14ac:dyDescent="0.2">
      <c r="A108" s="90"/>
      <c r="B108" s="90"/>
      <c r="C108" s="90"/>
      <c r="D108" s="90"/>
      <c r="E108" s="90"/>
      <c r="F108" s="90"/>
    </row>
    <row r="109" spans="1:6" x14ac:dyDescent="0.2">
      <c r="A109" s="90"/>
      <c r="B109" s="88" t="s">
        <v>206</v>
      </c>
      <c r="C109" s="94" t="s">
        <v>591</v>
      </c>
      <c r="D109" s="94" t="s">
        <v>592</v>
      </c>
      <c r="E109" s="94" t="s">
        <v>593</v>
      </c>
      <c r="F109" s="90"/>
    </row>
    <row r="110" spans="1:6" ht="13.5" thickBot="1" x14ac:dyDescent="0.25">
      <c r="A110" s="105"/>
      <c r="B110" s="105"/>
      <c r="C110" s="105"/>
      <c r="D110" s="105"/>
      <c r="E110" s="105"/>
      <c r="F110" s="90"/>
    </row>
    <row r="111" spans="1:6" x14ac:dyDescent="0.2">
      <c r="A111" s="89"/>
      <c r="B111" s="92"/>
      <c r="C111" s="92"/>
      <c r="D111" s="90"/>
      <c r="E111" s="90"/>
      <c r="F111" s="90"/>
    </row>
    <row r="112" spans="1:6" ht="25.5" x14ac:dyDescent="0.2">
      <c r="A112" s="89" t="s">
        <v>208</v>
      </c>
      <c r="B112" s="112" t="s">
        <v>207</v>
      </c>
      <c r="C112" s="112" t="str">
        <f>"Hotel- und Kurbetriebe: Logiernächte im März "&amp;$C$3&amp;", nach Destinationen"</f>
        <v>Hotel- und Kurbetriebe: Logiernächte im März 2026, nach Destinationen</v>
      </c>
      <c r="D112" s="112" t="str">
        <f>"Manaschis d' hotel e da cura: pernottaziuns il mars "&amp;$C$3&amp;", tenor destinaziuns"</f>
        <v>Manaschis d' hotel e da cura: pernottaziuns il mars 2026, tenor destinaziuns</v>
      </c>
      <c r="E112" s="112" t="str">
        <f>"Alberghi e stabilimenti di cura: pernottamenti nel mese di marzo "&amp;$C$3&amp;", per destinazione"</f>
        <v>Alberghi e stabilimenti di cura: pernottamenti nel mese di marzo 2026, per destinazione</v>
      </c>
      <c r="F112" s="90"/>
    </row>
    <row r="113" spans="1:6" ht="25.5" x14ac:dyDescent="0.2">
      <c r="A113" s="89"/>
      <c r="B113" s="112" t="s">
        <v>191</v>
      </c>
      <c r="C113" s="112" t="str">
        <f>"Hotel- und Kurbetriebe: Logiernächte im März "&amp;$C$3&amp;", nach Herkunft"</f>
        <v>Hotel- und Kurbetriebe: Logiernächte im März 2026, nach Herkunft</v>
      </c>
      <c r="D113" s="112" t="str">
        <f>"Manaschis d' hotel e da cura: pernottaziuns il mars "&amp;$C$3&amp;", tenor la derivanza"</f>
        <v>Manaschis d' hotel e da cura: pernottaziuns il mars 2026, tenor la derivanza</v>
      </c>
      <c r="E113" s="112" t="str">
        <f>"Alberghi e stabilimenti di cura: pernottamenti nel mese di marzo "&amp;$C$3&amp;", per provenienza"</f>
        <v>Alberghi e stabilimenti di cura: pernottamenti nel mese di marzo 2026, per provenienza</v>
      </c>
      <c r="F113" s="90"/>
    </row>
    <row r="114" spans="1:6" ht="38.25" x14ac:dyDescent="0.2">
      <c r="A114" s="89"/>
      <c r="B114" s="112" t="s">
        <v>192</v>
      </c>
      <c r="C114" s="112" t="str">
        <f>"Hotel- und Kurbetriebe: Logiernächte im März "&amp;$C$3&amp;", nach Schweizer Tourismusregionen"</f>
        <v>Hotel- und Kurbetriebe: Logiernächte im März 2026, nach Schweizer Tourismusregionen</v>
      </c>
      <c r="D114" s="112" t="str">
        <f>"Manaschis d' hotel e da cura: pernottaziuns il mars "&amp;$C$3&amp;", tenor regiuns turisticas svizras"</f>
        <v>Manaschis d' hotel e da cura: pernottaziuns il mars 2026, tenor regiuns turisticas svizras</v>
      </c>
      <c r="E114" s="112" t="str">
        <f>"Alberghi e stabilimenti di cura: pernottamenti nel mese di marzo "&amp;$C$3&amp;", per regioni turistiche svizzere"</f>
        <v>Alberghi e stabilimenti di cura: pernottamenti nel mese di marzo 2026, per regioni turistiche svizzere</v>
      </c>
      <c r="F114" s="90"/>
    </row>
    <row r="115" spans="1:6" x14ac:dyDescent="0.2">
      <c r="A115" s="89"/>
      <c r="B115" s="89"/>
      <c r="C115" s="89"/>
      <c r="D115" s="89"/>
      <c r="E115" s="89"/>
      <c r="F115" s="90"/>
    </row>
    <row r="116" spans="1:6" x14ac:dyDescent="0.2">
      <c r="A116" s="89"/>
      <c r="B116" s="112" t="s">
        <v>193</v>
      </c>
      <c r="C116" s="112" t="str">
        <f>"März "&amp;$C$3</f>
        <v>März 2026</v>
      </c>
      <c r="D116" s="112" t="str">
        <f>"Mars "&amp;$C$3</f>
        <v>Mars 2026</v>
      </c>
      <c r="E116" s="112" t="str">
        <f>"Marzo "&amp;$C$3</f>
        <v>Marzo 2026</v>
      </c>
      <c r="F116" s="90"/>
    </row>
    <row r="117" spans="1:6" x14ac:dyDescent="0.2">
      <c r="A117" s="89"/>
      <c r="B117" s="112" t="s">
        <v>194</v>
      </c>
      <c r="C117" s="112" t="str">
        <f>"März "&amp;$C$3-1</f>
        <v>März 2025</v>
      </c>
      <c r="D117" s="112" t="str">
        <f>"Mars "&amp;$C$3-1</f>
        <v>Mars 2025</v>
      </c>
      <c r="E117" s="112" t="str">
        <f>"Marzo "&amp;$C$3-1</f>
        <v>Marzo 2025</v>
      </c>
      <c r="F117" s="90"/>
    </row>
    <row r="118" spans="1:6" x14ac:dyDescent="0.2">
      <c r="A118" s="89"/>
      <c r="B118" s="112" t="s">
        <v>195</v>
      </c>
      <c r="C118" s="112" t="str">
        <f>"Januar-März "&amp;$D$3</f>
        <v>Januar-März 26</v>
      </c>
      <c r="D118" s="112" t="str">
        <f>"Schaner-mars "&amp;$D$3</f>
        <v>Schaner-mars 26</v>
      </c>
      <c r="E118" s="112" t="str">
        <f>"Gennaio-marzo "&amp;$D$3</f>
        <v>Gennaio-marzo 26</v>
      </c>
      <c r="F118" s="90"/>
    </row>
    <row r="119" spans="1:6" x14ac:dyDescent="0.2">
      <c r="A119" s="89"/>
      <c r="B119" s="112" t="s">
        <v>196</v>
      </c>
      <c r="C119" s="112" t="str">
        <f>"Januar-März "&amp;$D$3-1</f>
        <v>Januar-März 25</v>
      </c>
      <c r="D119" s="112" t="str">
        <f>"Schaner-mars "&amp;$D$3-1</f>
        <v>Schaner-mars 25</v>
      </c>
      <c r="E119" s="112" t="str">
        <f>"Gennaio-marzo "&amp;$D$3-1</f>
        <v>Gennaio-marzo 25</v>
      </c>
      <c r="F119" s="90"/>
    </row>
    <row r="120" spans="1:6" x14ac:dyDescent="0.2">
      <c r="A120" s="89"/>
      <c r="B120" s="90"/>
      <c r="C120" s="90"/>
      <c r="D120" s="90"/>
      <c r="E120" s="90"/>
      <c r="F120" s="90"/>
    </row>
    <row r="121" spans="1:6" ht="25.5" x14ac:dyDescent="0.2">
      <c r="A121" s="90"/>
      <c r="B121" s="88" t="s">
        <v>197</v>
      </c>
      <c r="C121" s="88" t="s">
        <v>594</v>
      </c>
      <c r="D121" s="88" t="s">
        <v>595</v>
      </c>
      <c r="E121" s="88" t="s">
        <v>596</v>
      </c>
      <c r="F121" s="90"/>
    </row>
    <row r="122" spans="1:6" x14ac:dyDescent="0.2">
      <c r="A122" s="90"/>
      <c r="B122" s="90"/>
      <c r="C122" s="90"/>
      <c r="D122" s="90"/>
      <c r="E122" s="90"/>
      <c r="F122" s="90"/>
    </row>
    <row r="123" spans="1:6" x14ac:dyDescent="0.2">
      <c r="A123" s="90"/>
      <c r="B123" s="88" t="s">
        <v>198</v>
      </c>
      <c r="C123" s="94" t="s">
        <v>591</v>
      </c>
      <c r="D123" s="94" t="s">
        <v>592</v>
      </c>
      <c r="E123" s="94" t="s">
        <v>593</v>
      </c>
      <c r="F123" s="90"/>
    </row>
    <row r="124" spans="1:6" ht="13.5" thickBot="1" x14ac:dyDescent="0.25">
      <c r="A124" s="105"/>
      <c r="B124" s="105"/>
      <c r="C124" s="105"/>
      <c r="D124" s="105"/>
      <c r="E124" s="105"/>
      <c r="F124" s="90"/>
    </row>
    <row r="125" spans="1:6" x14ac:dyDescent="0.2">
      <c r="A125" s="89"/>
      <c r="B125" s="92"/>
      <c r="C125" s="92"/>
      <c r="D125" s="90"/>
      <c r="E125" s="90"/>
      <c r="F125" s="90"/>
    </row>
    <row r="126" spans="1:6" ht="25.5" x14ac:dyDescent="0.2">
      <c r="A126" s="89" t="s">
        <v>209</v>
      </c>
      <c r="B126" s="112" t="s">
        <v>210</v>
      </c>
      <c r="C126" s="112" t="str">
        <f>"Hotel- und Kurbetriebe: Logiernächte im April "&amp;$C$3&amp;", nach Destinationen"</f>
        <v>Hotel- und Kurbetriebe: Logiernächte im April 2026, nach Destinationen</v>
      </c>
      <c r="D126" s="112" t="str">
        <f>"Manaschis d' hotel e da cura: pernottaziuns il avrigl "&amp;$C$3&amp;", tenor destinaziuns"</f>
        <v>Manaschis d' hotel e da cura: pernottaziuns il avrigl 2026, tenor destinaziuns</v>
      </c>
      <c r="E126" s="112" t="str">
        <f>"Alberghi e stabilimenti di cura: pernottamenti nel mese di aprile "&amp;$C$3&amp;", per destinazione"</f>
        <v>Alberghi e stabilimenti di cura: pernottamenti nel mese di aprile 2026, per destinazione</v>
      </c>
      <c r="F126" s="90"/>
    </row>
    <row r="127" spans="1:6" ht="25.5" x14ac:dyDescent="0.2">
      <c r="A127" s="89"/>
      <c r="B127" s="112" t="s">
        <v>211</v>
      </c>
      <c r="C127" s="112" t="str">
        <f>"Hotel- und Kurbetriebe: Logiernächte im April "&amp;$C$3&amp;", nach Herkunft"</f>
        <v>Hotel- und Kurbetriebe: Logiernächte im April 2026, nach Herkunft</v>
      </c>
      <c r="D127" s="112" t="str">
        <f>"Manaschis d' hotel e da cura: pernottaziuns il avrigl "&amp;$C$3&amp;", tenor la derivanza"</f>
        <v>Manaschis d' hotel e da cura: pernottaziuns il avrigl 2026, tenor la derivanza</v>
      </c>
      <c r="E127" s="112" t="str">
        <f>"Alberghi e stabilimenti di cura: pernottamenti nel mese di aprile "&amp;$C$3&amp;", per provenienza"</f>
        <v>Alberghi e stabilimenti di cura: pernottamenti nel mese di aprile 2026, per provenienza</v>
      </c>
      <c r="F127" s="90"/>
    </row>
    <row r="128" spans="1:6" ht="38.25" x14ac:dyDescent="0.2">
      <c r="A128" s="89"/>
      <c r="B128" s="112" t="s">
        <v>212</v>
      </c>
      <c r="C128" s="112" t="str">
        <f>"Hotel- und Kurbetriebe: Logiernächte im April "&amp;$C$3&amp;", nach Schweizer Tourismusregionen"</f>
        <v>Hotel- und Kurbetriebe: Logiernächte im April 2026, nach Schweizer Tourismusregionen</v>
      </c>
      <c r="D128" s="112" t="str">
        <f>"Manaschis d' hotel e da cura: pernottaziuns il avrigl "&amp;$C$3&amp;", tenor regiuns turisticas svizras"</f>
        <v>Manaschis d' hotel e da cura: pernottaziuns il avrigl 2026, tenor regiuns turisticas svizras</v>
      </c>
      <c r="E128" s="112" t="str">
        <f>"Alberghi e stabilimenti di cura: pernottamenti nel mese di aprile "&amp;$C$3&amp;", per regioni turistiche svizzere"</f>
        <v>Alberghi e stabilimenti di cura: pernottamenti nel mese di aprile 2026, per regioni turistiche svizzere</v>
      </c>
      <c r="F128" s="90"/>
    </row>
    <row r="129" spans="1:6" x14ac:dyDescent="0.2">
      <c r="A129" s="89"/>
      <c r="B129" s="89"/>
      <c r="C129" s="89"/>
      <c r="D129" s="89"/>
      <c r="E129" s="89"/>
      <c r="F129" s="90"/>
    </row>
    <row r="130" spans="1:6" x14ac:dyDescent="0.2">
      <c r="A130" s="89"/>
      <c r="B130" s="112" t="s">
        <v>213</v>
      </c>
      <c r="C130" s="112" t="str">
        <f>"April "&amp;$C$3</f>
        <v>April 2026</v>
      </c>
      <c r="D130" s="112" t="str">
        <f>"Avrigl "&amp;$C$3</f>
        <v>Avrigl 2026</v>
      </c>
      <c r="E130" s="112" t="str">
        <f>"Aprile "&amp;$C$3</f>
        <v>Aprile 2026</v>
      </c>
      <c r="F130" s="90"/>
    </row>
    <row r="131" spans="1:6" x14ac:dyDescent="0.2">
      <c r="A131" s="89"/>
      <c r="B131" s="112" t="s">
        <v>214</v>
      </c>
      <c r="C131" s="112" t="str">
        <f>"April "&amp;$C$3-1</f>
        <v>April 2025</v>
      </c>
      <c r="D131" s="112" t="str">
        <f>"Avrigl "&amp;$C$3-1</f>
        <v>Avrigl 2025</v>
      </c>
      <c r="E131" s="112" t="str">
        <f>"Aprile "&amp;$C$3-1</f>
        <v>Aprile 2025</v>
      </c>
      <c r="F131" s="90"/>
    </row>
    <row r="132" spans="1:6" x14ac:dyDescent="0.2">
      <c r="A132" s="89"/>
      <c r="B132" s="112" t="s">
        <v>217</v>
      </c>
      <c r="C132" s="112" t="str">
        <f>"Januar-April "&amp;$D$3</f>
        <v>Januar-April 26</v>
      </c>
      <c r="D132" s="112" t="str">
        <f>"Schaner-avrigl "&amp;$D$3</f>
        <v>Schaner-avrigl 26</v>
      </c>
      <c r="E132" s="112" t="str">
        <f>"Gennaio-aprile "&amp;$D$3</f>
        <v>Gennaio-aprile 26</v>
      </c>
      <c r="F132" s="90"/>
    </row>
    <row r="133" spans="1:6" x14ac:dyDescent="0.2">
      <c r="A133" s="89"/>
      <c r="B133" s="112" t="s">
        <v>216</v>
      </c>
      <c r="C133" s="112" t="str">
        <f>"Januar-April "&amp;$D$3-1</f>
        <v>Januar-April 25</v>
      </c>
      <c r="D133" s="112" t="str">
        <f>"Schaner-avrigl "&amp;$D$3-1</f>
        <v>Schaner-avrigl 25</v>
      </c>
      <c r="E133" s="112" t="str">
        <f>"Gennaio-aprile "&amp;$D$3-1</f>
        <v>Gennaio-aprile 25</v>
      </c>
      <c r="F133" s="90"/>
    </row>
    <row r="134" spans="1:6" x14ac:dyDescent="0.2">
      <c r="A134" s="89"/>
      <c r="B134" s="90"/>
      <c r="C134" s="90"/>
      <c r="D134" s="90"/>
      <c r="E134" s="90"/>
      <c r="F134" s="90"/>
    </row>
    <row r="135" spans="1:6" ht="25.5" x14ac:dyDescent="0.2">
      <c r="A135" s="90"/>
      <c r="B135" s="88" t="s">
        <v>218</v>
      </c>
      <c r="C135" s="88" t="s">
        <v>597</v>
      </c>
      <c r="D135" s="88" t="s">
        <v>598</v>
      </c>
      <c r="E135" s="88" t="s">
        <v>599</v>
      </c>
      <c r="F135" s="90"/>
    </row>
    <row r="136" spans="1:6" x14ac:dyDescent="0.2">
      <c r="A136" s="90"/>
      <c r="B136" s="90"/>
      <c r="C136" s="90"/>
      <c r="D136" s="90"/>
      <c r="E136" s="90"/>
      <c r="F136" s="90"/>
    </row>
    <row r="137" spans="1:6" x14ac:dyDescent="0.2">
      <c r="A137" s="90"/>
      <c r="B137" s="88" t="s">
        <v>219</v>
      </c>
      <c r="C137" s="94" t="s">
        <v>591</v>
      </c>
      <c r="D137" s="94" t="s">
        <v>592</v>
      </c>
      <c r="E137" s="94" t="s">
        <v>593</v>
      </c>
      <c r="F137" s="90"/>
    </row>
    <row r="138" spans="1:6" ht="13.5" thickBot="1" x14ac:dyDescent="0.25">
      <c r="A138" s="105"/>
      <c r="B138" s="105"/>
      <c r="C138" s="105"/>
      <c r="D138" s="105"/>
      <c r="E138" s="105"/>
      <c r="F138" s="90"/>
    </row>
    <row r="139" spans="1:6" x14ac:dyDescent="0.2">
      <c r="A139" s="89"/>
      <c r="B139" s="92"/>
      <c r="C139" s="92"/>
      <c r="D139" s="90"/>
      <c r="E139" s="90"/>
      <c r="F139" s="90"/>
    </row>
    <row r="140" spans="1:6" ht="25.5" x14ac:dyDescent="0.2">
      <c r="A140" s="89" t="s">
        <v>220</v>
      </c>
      <c r="B140" s="112" t="s">
        <v>221</v>
      </c>
      <c r="C140" s="112" t="str">
        <f>"Hotel- und Kurbetriebe: Logiernächte im Mai "&amp;$C$3&amp;", nach Destinationen"</f>
        <v>Hotel- und Kurbetriebe: Logiernächte im Mai 2026, nach Destinationen</v>
      </c>
      <c r="D140" s="112" t="str">
        <f>"Manaschis d' hotel e da cura: pernottaziuns il matg "&amp;$C$3&amp;", tenor destinaziuns"</f>
        <v>Manaschis d' hotel e da cura: pernottaziuns il matg 2026, tenor destinaziuns</v>
      </c>
      <c r="E140" s="112" t="str">
        <f>"Alberghi e stabilimenti di cura: pernottamenti nel mese di maggio "&amp;$C$3&amp;", per destinazione"</f>
        <v>Alberghi e stabilimenti di cura: pernottamenti nel mese di maggio 2026, per destinazione</v>
      </c>
      <c r="F140" s="90"/>
    </row>
    <row r="141" spans="1:6" ht="25.5" x14ac:dyDescent="0.2">
      <c r="A141" s="89"/>
      <c r="B141" s="112" t="s">
        <v>222</v>
      </c>
      <c r="C141" s="112" t="str">
        <f>"Hotel- und Kurbetriebe: Logiernächte im Mai "&amp;$C$3&amp;", nach Herkunft"</f>
        <v>Hotel- und Kurbetriebe: Logiernächte im Mai 2026, nach Herkunft</v>
      </c>
      <c r="D141" s="112" t="str">
        <f>"Manaschis d' hotel e da cura: pernottaziuns il matg "&amp;$C$3&amp;", tenor la derivanza"</f>
        <v>Manaschis d' hotel e da cura: pernottaziuns il matg 2026, tenor la derivanza</v>
      </c>
      <c r="E141" s="112" t="str">
        <f>"Alberghi e stabilimenti di cura: pernottamenti nel mese di maggio "&amp;$C$3&amp;", per provenienza"</f>
        <v>Alberghi e stabilimenti di cura: pernottamenti nel mese di maggio 2026, per provenienza</v>
      </c>
      <c r="F141" s="90"/>
    </row>
    <row r="142" spans="1:6" ht="38.25" x14ac:dyDescent="0.2">
      <c r="A142" s="89"/>
      <c r="B142" s="112" t="s">
        <v>223</v>
      </c>
      <c r="C142" s="112" t="str">
        <f>"Hotel- und Kurbetriebe: Logiernächte im Mai "&amp;$C$3&amp;", nach Schweizer Tourismusregionen"</f>
        <v>Hotel- und Kurbetriebe: Logiernächte im Mai 2026, nach Schweizer Tourismusregionen</v>
      </c>
      <c r="D142" s="112" t="str">
        <f>"Manaschis d' hotel e da cura: pernottaziuns il matg "&amp;$C$3&amp;", tenor regiuns turisticas svizras"</f>
        <v>Manaschis d' hotel e da cura: pernottaziuns il matg 2026, tenor regiuns turisticas svizras</v>
      </c>
      <c r="E142" s="112" t="str">
        <f>"Alberghi e stabilimenti di cura: pernottamenti nel mese di maggio "&amp;$C$3&amp;", per regioni turistiche svizzere"</f>
        <v>Alberghi e stabilimenti di cura: pernottamenti nel mese di maggio 2026, per regioni turistiche svizzere</v>
      </c>
      <c r="F142" s="90"/>
    </row>
    <row r="143" spans="1:6" x14ac:dyDescent="0.2">
      <c r="A143" s="89"/>
      <c r="B143" s="89"/>
      <c r="C143" s="89"/>
      <c r="D143" s="89"/>
      <c r="E143" s="89"/>
      <c r="F143" s="90"/>
    </row>
    <row r="144" spans="1:6" x14ac:dyDescent="0.2">
      <c r="A144" s="89"/>
      <c r="B144" s="112" t="s">
        <v>224</v>
      </c>
      <c r="C144" s="112" t="str">
        <f>"Mai "&amp;$C$3</f>
        <v>Mai 2026</v>
      </c>
      <c r="D144" s="112" t="str">
        <f>"Matg "&amp;$C$3</f>
        <v>Matg 2026</v>
      </c>
      <c r="E144" s="112" t="str">
        <f>"Maggio "&amp;$C$3</f>
        <v>Maggio 2026</v>
      </c>
      <c r="F144" s="90"/>
    </row>
    <row r="145" spans="1:6" x14ac:dyDescent="0.2">
      <c r="A145" s="89"/>
      <c r="B145" s="112" t="s">
        <v>225</v>
      </c>
      <c r="C145" s="112" t="str">
        <f>"Mai "&amp;$C$3-1</f>
        <v>Mai 2025</v>
      </c>
      <c r="D145" s="112" t="str">
        <f>"Matg "&amp;$C$3-1</f>
        <v>Matg 2025</v>
      </c>
      <c r="E145" s="112" t="str">
        <f>"Maggio "&amp;$C$3-1</f>
        <v>Maggio 2025</v>
      </c>
      <c r="F145" s="90"/>
    </row>
    <row r="146" spans="1:6" x14ac:dyDescent="0.2">
      <c r="A146" s="89"/>
      <c r="B146" s="112" t="s">
        <v>215</v>
      </c>
      <c r="C146" s="112" t="str">
        <f>"Januar-Mai "&amp;$D$3</f>
        <v>Januar-Mai 26</v>
      </c>
      <c r="D146" s="112" t="str">
        <f>"Schaner-matg "&amp;$D$3</f>
        <v>Schaner-matg 26</v>
      </c>
      <c r="E146" s="112" t="str">
        <f>"Gennaio-maggio "&amp;$D$3</f>
        <v>Gennaio-maggio 26</v>
      </c>
      <c r="F146" s="90"/>
    </row>
    <row r="147" spans="1:6" x14ac:dyDescent="0.2">
      <c r="A147" s="89"/>
      <c r="B147" s="112" t="s">
        <v>226</v>
      </c>
      <c r="C147" s="112" t="str">
        <f>"Januar-Mai "&amp;$D$3-1</f>
        <v>Januar-Mai 25</v>
      </c>
      <c r="D147" s="112" t="str">
        <f>"Schaner-matg "&amp;$D$3-1</f>
        <v>Schaner-matg 25</v>
      </c>
      <c r="E147" s="112" t="str">
        <f>"Gennaio-maggio "&amp;$D$3-1</f>
        <v>Gennaio-maggio 25</v>
      </c>
      <c r="F147" s="90"/>
    </row>
    <row r="148" spans="1:6" x14ac:dyDescent="0.2">
      <c r="A148" s="89"/>
      <c r="B148" s="90"/>
      <c r="C148" s="90"/>
      <c r="D148" s="90"/>
      <c r="E148" s="90"/>
      <c r="F148" s="90"/>
    </row>
    <row r="149" spans="1:6" ht="25.5" x14ac:dyDescent="0.2">
      <c r="A149" s="90"/>
      <c r="B149" s="88" t="s">
        <v>227</v>
      </c>
      <c r="C149" s="88" t="s">
        <v>600</v>
      </c>
      <c r="D149" s="88" t="s">
        <v>601</v>
      </c>
      <c r="E149" s="88" t="s">
        <v>602</v>
      </c>
      <c r="F149" s="90"/>
    </row>
    <row r="150" spans="1:6" x14ac:dyDescent="0.2">
      <c r="A150" s="90"/>
      <c r="B150" s="90"/>
      <c r="C150" s="90"/>
      <c r="D150" s="90"/>
      <c r="E150" s="90"/>
      <c r="F150" s="90"/>
    </row>
    <row r="151" spans="1:6" x14ac:dyDescent="0.2">
      <c r="A151" s="90"/>
      <c r="B151" s="88" t="s">
        <v>228</v>
      </c>
      <c r="C151" s="94" t="s">
        <v>591</v>
      </c>
      <c r="D151" s="94" t="s">
        <v>592</v>
      </c>
      <c r="E151" s="94" t="s">
        <v>593</v>
      </c>
      <c r="F151" s="90"/>
    </row>
    <row r="152" spans="1:6" ht="13.5" thickBot="1" x14ac:dyDescent="0.25">
      <c r="A152" s="105"/>
      <c r="B152" s="105"/>
      <c r="C152" s="105"/>
      <c r="D152" s="105"/>
      <c r="E152" s="105"/>
      <c r="F152" s="90"/>
    </row>
    <row r="153" spans="1:6" x14ac:dyDescent="0.2">
      <c r="A153" s="89"/>
      <c r="B153" s="92"/>
      <c r="C153" s="92"/>
      <c r="D153" s="90"/>
      <c r="E153" s="90"/>
      <c r="F153" s="90"/>
    </row>
    <row r="154" spans="1:6" ht="25.5" x14ac:dyDescent="0.2">
      <c r="A154" s="89" t="s">
        <v>229</v>
      </c>
      <c r="B154" s="112" t="s">
        <v>230</v>
      </c>
      <c r="C154" s="112" t="str">
        <f>"Hotel- und Kurbetriebe: Logiernächte im Juni "&amp;$C$3&amp;", nach Destinationen"</f>
        <v>Hotel- und Kurbetriebe: Logiernächte im Juni 2026, nach Destinationen</v>
      </c>
      <c r="D154" s="112" t="str">
        <f>"Manaschis d' hotel e da cura: pernottaziuns il zercladur "&amp;$C$3&amp;", tenor destinaziuns"</f>
        <v>Manaschis d' hotel e da cura: pernottaziuns il zercladur 2026, tenor destinaziuns</v>
      </c>
      <c r="E154" s="112" t="str">
        <f>"Alberghi e stabilimenti di cura: pernottamenti nel mese di giugno "&amp;$C$3&amp;", per destinazione"</f>
        <v>Alberghi e stabilimenti di cura: pernottamenti nel mese di giugno 2026, per destinazione</v>
      </c>
      <c r="F154" s="90"/>
    </row>
    <row r="155" spans="1:6" ht="25.5" x14ac:dyDescent="0.2">
      <c r="A155" s="89"/>
      <c r="B155" s="112" t="s">
        <v>231</v>
      </c>
      <c r="C155" s="112" t="str">
        <f>"Hotel- und Kurbetriebe: Logiernächte im Juni "&amp;$C$3&amp;", nach Herkunft"</f>
        <v>Hotel- und Kurbetriebe: Logiernächte im Juni 2026, nach Herkunft</v>
      </c>
      <c r="D155" s="112" t="str">
        <f>"Manaschis d' hotel e da cura: pernottaziuns il zercladur "&amp;$C$3&amp;", tenor la derivanza"</f>
        <v>Manaschis d' hotel e da cura: pernottaziuns il zercladur 2026, tenor la derivanza</v>
      </c>
      <c r="E155" s="112" t="str">
        <f>"Alberghi e stabilimenti di cura: pernottamenti nel mese di giugno "&amp;$C$3&amp;", per provenienza"</f>
        <v>Alberghi e stabilimenti di cura: pernottamenti nel mese di giugno 2026, per provenienza</v>
      </c>
      <c r="F155" s="90"/>
    </row>
    <row r="156" spans="1:6" ht="38.25" x14ac:dyDescent="0.2">
      <c r="A156" s="89"/>
      <c r="B156" s="112" t="s">
        <v>232</v>
      </c>
      <c r="C156" s="112" t="str">
        <f>"Hotel- und Kurbetriebe: Logiernächte im Juni "&amp;$C$3&amp;", nach Schweizer Tourismusregionen"</f>
        <v>Hotel- und Kurbetriebe: Logiernächte im Juni 2026, nach Schweizer Tourismusregionen</v>
      </c>
      <c r="D156" s="112" t="str">
        <f>"Manaschis d' hotel e da cura: pernottaziuns il zercladur "&amp;$C$3&amp;", tenor regiuns turisticas svizras"</f>
        <v>Manaschis d' hotel e da cura: pernottaziuns il zercladur 2026, tenor regiuns turisticas svizras</v>
      </c>
      <c r="E156" s="112" t="str">
        <f>"Alberghi e stabilimenti di cura: pernottamenti nel mese di giugno "&amp;$C$3&amp;", per regioni turistiche svizzere"</f>
        <v>Alberghi e stabilimenti di cura: pernottamenti nel mese di giugno 2026, per regioni turistiche svizzere</v>
      </c>
      <c r="F156" s="90"/>
    </row>
    <row r="157" spans="1:6" x14ac:dyDescent="0.2">
      <c r="A157" s="89"/>
      <c r="B157" s="89"/>
      <c r="C157" s="89"/>
      <c r="D157" s="89"/>
      <c r="E157" s="89"/>
      <c r="F157" s="90"/>
    </row>
    <row r="158" spans="1:6" x14ac:dyDescent="0.2">
      <c r="A158" s="89"/>
      <c r="B158" s="112" t="s">
        <v>233</v>
      </c>
      <c r="C158" s="112" t="str">
        <f>"Juni "&amp;$C$3</f>
        <v>Juni 2026</v>
      </c>
      <c r="D158" s="112" t="str">
        <f>"Zercladur "&amp;$C$3</f>
        <v>Zercladur 2026</v>
      </c>
      <c r="E158" s="112" t="str">
        <f>"Giugno "&amp;$C$3</f>
        <v>Giugno 2026</v>
      </c>
      <c r="F158" s="90"/>
    </row>
    <row r="159" spans="1:6" x14ac:dyDescent="0.2">
      <c r="A159" s="89"/>
      <c r="B159" s="112" t="s">
        <v>234</v>
      </c>
      <c r="C159" s="112" t="str">
        <f>"Juni "&amp;$C$3-1</f>
        <v>Juni 2025</v>
      </c>
      <c r="D159" s="112" t="str">
        <f>"Zercladur "&amp;$C$3-1</f>
        <v>Zercladur 2025</v>
      </c>
      <c r="E159" s="112" t="str">
        <f>"Giugno "&amp;$C$3-1</f>
        <v>Giugno 2025</v>
      </c>
      <c r="F159" s="90"/>
    </row>
    <row r="160" spans="1:6" x14ac:dyDescent="0.2">
      <c r="A160" s="89"/>
      <c r="B160" s="112" t="s">
        <v>235</v>
      </c>
      <c r="C160" s="112" t="str">
        <f>"Januar-Juni "&amp;$D$3</f>
        <v>Januar-Juni 26</v>
      </c>
      <c r="D160" s="112" t="str">
        <f>"Schaner-zercladur "&amp;$D$3</f>
        <v>Schaner-zercladur 26</v>
      </c>
      <c r="E160" s="112" t="str">
        <f>"Gennaio-giugno "&amp;$D$3</f>
        <v>Gennaio-giugno 26</v>
      </c>
      <c r="F160" s="90"/>
    </row>
    <row r="161" spans="1:6" x14ac:dyDescent="0.2">
      <c r="A161" s="89"/>
      <c r="B161" s="112" t="s">
        <v>236</v>
      </c>
      <c r="C161" s="112" t="str">
        <f>"Januar-Juni "&amp;$D$3-1</f>
        <v>Januar-Juni 25</v>
      </c>
      <c r="D161" s="112" t="str">
        <f>"Schaner-zercladur "&amp;$D$3-1</f>
        <v>Schaner-zercladur 25</v>
      </c>
      <c r="E161" s="112" t="str">
        <f>"Gennaio-giugno "&amp;$D$3-1</f>
        <v>Gennaio-giugno 25</v>
      </c>
      <c r="F161" s="90"/>
    </row>
    <row r="162" spans="1:6" x14ac:dyDescent="0.2">
      <c r="A162" s="89"/>
      <c r="B162" s="90"/>
      <c r="C162" s="90"/>
      <c r="D162" s="90"/>
      <c r="E162" s="90"/>
      <c r="F162" s="90"/>
    </row>
    <row r="163" spans="1:6" ht="25.5" x14ac:dyDescent="0.2">
      <c r="A163" s="90"/>
      <c r="B163" s="88" t="s">
        <v>237</v>
      </c>
      <c r="C163" s="88" t="s">
        <v>603</v>
      </c>
      <c r="D163" s="88" t="s">
        <v>604</v>
      </c>
      <c r="E163" s="88" t="s">
        <v>605</v>
      </c>
      <c r="F163" s="90"/>
    </row>
    <row r="164" spans="1:6" x14ac:dyDescent="0.2">
      <c r="A164" s="90"/>
      <c r="B164" s="90"/>
      <c r="C164" s="90"/>
      <c r="D164" s="90"/>
      <c r="E164" s="90"/>
      <c r="F164" s="90"/>
    </row>
    <row r="165" spans="1:6" x14ac:dyDescent="0.2">
      <c r="A165" s="90"/>
      <c r="B165" s="88" t="s">
        <v>238</v>
      </c>
      <c r="C165" s="94" t="s">
        <v>591</v>
      </c>
      <c r="D165" s="94" t="s">
        <v>592</v>
      </c>
      <c r="E165" s="94" t="s">
        <v>593</v>
      </c>
      <c r="F165" s="90"/>
    </row>
    <row r="166" spans="1:6" ht="13.5" thickBot="1" x14ac:dyDescent="0.25">
      <c r="A166" s="105"/>
      <c r="B166" s="105"/>
      <c r="C166" s="105"/>
      <c r="D166" s="105"/>
      <c r="E166" s="105"/>
      <c r="F166" s="90"/>
    </row>
    <row r="167" spans="1:6" x14ac:dyDescent="0.2">
      <c r="A167" s="89"/>
      <c r="B167" s="92"/>
      <c r="C167" s="92"/>
      <c r="D167" s="90"/>
      <c r="E167" s="90"/>
      <c r="F167" s="90"/>
    </row>
    <row r="168" spans="1:6" ht="25.5" x14ac:dyDescent="0.2">
      <c r="A168" s="89" t="s">
        <v>239</v>
      </c>
      <c r="B168" s="112" t="s">
        <v>240</v>
      </c>
      <c r="C168" s="112" t="str">
        <f>"Hotel- und Kurbetriebe: Logiernächte im Juli "&amp;$C$3&amp;", nach Destinationen"</f>
        <v>Hotel- und Kurbetriebe: Logiernächte im Juli 2026, nach Destinationen</v>
      </c>
      <c r="D168" s="112" t="str">
        <f>"Manaschis d' hotel e da cura: pernottaziuns il fanadur "&amp;$C$3&amp;", tenor destinaziuns"</f>
        <v>Manaschis d' hotel e da cura: pernottaziuns il fanadur 2026, tenor destinaziuns</v>
      </c>
      <c r="E168" s="112" t="str">
        <f>"Alberghi e stabilimenti di cura: pernottamenti nel mese di luglio "&amp;$C$3&amp;", per destinazione"</f>
        <v>Alberghi e stabilimenti di cura: pernottamenti nel mese di luglio 2026, per destinazione</v>
      </c>
      <c r="F168" s="90"/>
    </row>
    <row r="169" spans="1:6" ht="25.5" x14ac:dyDescent="0.2">
      <c r="A169" s="89"/>
      <c r="B169" s="112" t="s">
        <v>241</v>
      </c>
      <c r="C169" s="112" t="str">
        <f>"Hotel- und Kurbetriebe: Logiernächte im Juli "&amp;$C$3&amp;", nach Herkunft"</f>
        <v>Hotel- und Kurbetriebe: Logiernächte im Juli 2026, nach Herkunft</v>
      </c>
      <c r="D169" s="112" t="str">
        <f>"Manaschis d' hotel e da cura: pernottaziuns il fanadur "&amp;$C$3&amp;", tenor la derivanza"</f>
        <v>Manaschis d' hotel e da cura: pernottaziuns il fanadur 2026, tenor la derivanza</v>
      </c>
      <c r="E169" s="112" t="str">
        <f>"Alberghi e stabilimenti di cura: pernottamenti nel mese di luglio "&amp;$C$3&amp;", per provenienza"</f>
        <v>Alberghi e stabilimenti di cura: pernottamenti nel mese di luglio 2026, per provenienza</v>
      </c>
      <c r="F169" s="90"/>
    </row>
    <row r="170" spans="1:6" ht="38.25" x14ac:dyDescent="0.2">
      <c r="A170" s="89"/>
      <c r="B170" s="112" t="s">
        <v>242</v>
      </c>
      <c r="C170" s="112" t="str">
        <f>"Hotel- und Kurbetriebe: Logiernächte im Juli "&amp;$C$3&amp;", nach Schweizer Tourismusregionen"</f>
        <v>Hotel- und Kurbetriebe: Logiernächte im Juli 2026, nach Schweizer Tourismusregionen</v>
      </c>
      <c r="D170" s="112" t="str">
        <f>"Manaschis d' hotel e da cura: pernottaziuns il fanadur "&amp;$C$3&amp;", tenor regiuns turisticas svizras"</f>
        <v>Manaschis d' hotel e da cura: pernottaziuns il fanadur 2026, tenor regiuns turisticas svizras</v>
      </c>
      <c r="E170" s="112" t="str">
        <f>"Alberghi e stabilimenti di cura: pernottamenti nel mese di luglio "&amp;$C$3&amp;", per regioni turistiche svizzere"</f>
        <v>Alberghi e stabilimenti di cura: pernottamenti nel mese di luglio 2026, per regioni turistiche svizzere</v>
      </c>
      <c r="F170" s="90"/>
    </row>
    <row r="171" spans="1:6" x14ac:dyDescent="0.2">
      <c r="A171" s="89"/>
      <c r="B171" s="89"/>
      <c r="C171" s="89"/>
      <c r="D171" s="89"/>
      <c r="E171" s="89"/>
      <c r="F171" s="90"/>
    </row>
    <row r="172" spans="1:6" x14ac:dyDescent="0.2">
      <c r="A172" s="89"/>
      <c r="B172" s="112" t="s">
        <v>243</v>
      </c>
      <c r="C172" s="112" t="str">
        <f>"Juli "&amp;$C$3</f>
        <v>Juli 2026</v>
      </c>
      <c r="D172" s="112" t="str">
        <f>"Fanadur "&amp;$C$3</f>
        <v>Fanadur 2026</v>
      </c>
      <c r="E172" s="112" t="str">
        <f>"Luglio "&amp;$C$3</f>
        <v>Luglio 2026</v>
      </c>
      <c r="F172" s="90"/>
    </row>
    <row r="173" spans="1:6" x14ac:dyDescent="0.2">
      <c r="A173" s="89"/>
      <c r="B173" s="112" t="s">
        <v>244</v>
      </c>
      <c r="C173" s="112" t="str">
        <f>"Juli "&amp;$C$3-1</f>
        <v>Juli 2025</v>
      </c>
      <c r="D173" s="112" t="str">
        <f>"Fanadur "&amp;$C$3-1</f>
        <v>Fanadur 2025</v>
      </c>
      <c r="E173" s="112" t="str">
        <f>"Luglio "&amp;$C$3-1</f>
        <v>Luglio 2025</v>
      </c>
      <c r="F173" s="90"/>
    </row>
    <row r="174" spans="1:6" x14ac:dyDescent="0.2">
      <c r="A174" s="89"/>
      <c r="B174" s="112" t="s">
        <v>245</v>
      </c>
      <c r="C174" s="112" t="str">
        <f>"Januar-Juli "&amp;$D$3</f>
        <v>Januar-Juli 26</v>
      </c>
      <c r="D174" s="112" t="str">
        <f>"Schaner-fanadur "&amp;$D$3</f>
        <v>Schaner-fanadur 26</v>
      </c>
      <c r="E174" s="112" t="str">
        <f>"Gennaio-luglio "&amp;$D$3</f>
        <v>Gennaio-luglio 26</v>
      </c>
      <c r="F174" s="90"/>
    </row>
    <row r="175" spans="1:6" x14ac:dyDescent="0.2">
      <c r="A175" s="89"/>
      <c r="B175" s="112" t="s">
        <v>246</v>
      </c>
      <c r="C175" s="112" t="str">
        <f>"Januar-Juli "&amp;$D$3-1</f>
        <v>Januar-Juli 25</v>
      </c>
      <c r="D175" s="112" t="str">
        <f>"Schaner-fanadur "&amp;$D$3-1</f>
        <v>Schaner-fanadur 25</v>
      </c>
      <c r="E175" s="112" t="str">
        <f>"Gennaio-luglio "&amp;$D$3-1</f>
        <v>Gennaio-luglio 25</v>
      </c>
      <c r="F175" s="90"/>
    </row>
    <row r="176" spans="1:6" x14ac:dyDescent="0.2">
      <c r="A176" s="89"/>
      <c r="B176" s="90"/>
      <c r="C176" s="90"/>
      <c r="D176" s="90"/>
      <c r="E176" s="90"/>
      <c r="F176" s="90"/>
    </row>
    <row r="177" spans="1:6" ht="25.5" x14ac:dyDescent="0.2">
      <c r="A177" s="90"/>
      <c r="B177" s="88" t="s">
        <v>249</v>
      </c>
      <c r="C177" s="88" t="s">
        <v>606</v>
      </c>
      <c r="D177" s="88" t="s">
        <v>607</v>
      </c>
      <c r="E177" s="88" t="s">
        <v>608</v>
      </c>
      <c r="F177" s="90"/>
    </row>
    <row r="178" spans="1:6" x14ac:dyDescent="0.2">
      <c r="A178" s="90"/>
      <c r="B178" s="90"/>
      <c r="C178" s="90"/>
      <c r="D178" s="90"/>
      <c r="E178" s="90"/>
      <c r="F178" s="90"/>
    </row>
    <row r="179" spans="1:6" x14ac:dyDescent="0.2">
      <c r="A179" s="90"/>
      <c r="B179" s="88" t="s">
        <v>248</v>
      </c>
      <c r="C179" s="94" t="s">
        <v>591</v>
      </c>
      <c r="D179" s="94" t="s">
        <v>592</v>
      </c>
      <c r="E179" s="94" t="s">
        <v>593</v>
      </c>
      <c r="F179" s="90"/>
    </row>
    <row r="180" spans="1:6" ht="13.5" thickBot="1" x14ac:dyDescent="0.25">
      <c r="A180" s="105"/>
      <c r="B180" s="105"/>
      <c r="C180" s="105"/>
      <c r="D180" s="105"/>
      <c r="E180" s="105"/>
      <c r="F180" s="90"/>
    </row>
    <row r="181" spans="1:6" x14ac:dyDescent="0.2">
      <c r="A181" s="89"/>
      <c r="B181" s="92"/>
      <c r="C181" s="92"/>
      <c r="D181" s="90"/>
      <c r="E181" s="90"/>
      <c r="F181" s="90"/>
    </row>
    <row r="182" spans="1:6" ht="25.5" x14ac:dyDescent="0.2">
      <c r="A182" s="89" t="s">
        <v>250</v>
      </c>
      <c r="B182" s="112" t="s">
        <v>251</v>
      </c>
      <c r="C182" s="112" t="str">
        <f>"Hotel- und Kurbetriebe: Logiernächte im August "&amp;$C$3&amp;", nach Destinationen"</f>
        <v>Hotel- und Kurbetriebe: Logiernächte im August 2026, nach Destinationen</v>
      </c>
      <c r="D182" s="112" t="str">
        <f>"Manaschis d' hotel e da cura: pernottaziuns il avust "&amp;$C$3&amp;", tenor destinaziuns"</f>
        <v>Manaschis d' hotel e da cura: pernottaziuns il avust 2026, tenor destinaziuns</v>
      </c>
      <c r="E182" s="112" t="str">
        <f>"Alberghi e stabilimenti di cura: pernottamenti nel mese di agosto "&amp;$C$3&amp;", per destinazione"</f>
        <v>Alberghi e stabilimenti di cura: pernottamenti nel mese di agosto 2026, per destinazione</v>
      </c>
      <c r="F182" s="90"/>
    </row>
    <row r="183" spans="1:6" ht="25.5" x14ac:dyDescent="0.2">
      <c r="A183" s="89"/>
      <c r="B183" s="112" t="s">
        <v>252</v>
      </c>
      <c r="C183" s="112" t="str">
        <f>"Hotel- und Kurbetriebe: Logiernächte im August "&amp;$C$3&amp;", nach Herkunft"</f>
        <v>Hotel- und Kurbetriebe: Logiernächte im August 2026, nach Herkunft</v>
      </c>
      <c r="D183" s="112" t="str">
        <f>"Manaschis d' hotel e da cura: pernottaziuns il avust "&amp;$C$3&amp;", tenor la derivanza"</f>
        <v>Manaschis d' hotel e da cura: pernottaziuns il avust 2026, tenor la derivanza</v>
      </c>
      <c r="E183" s="112" t="str">
        <f>"Alberghi e stabilimenti di cura: pernottamenti nel mese di agosto "&amp;$C$3&amp;", per provenienza"</f>
        <v>Alberghi e stabilimenti di cura: pernottamenti nel mese di agosto 2026, per provenienza</v>
      </c>
      <c r="F183" s="90"/>
    </row>
    <row r="184" spans="1:6" ht="38.25" x14ac:dyDescent="0.2">
      <c r="A184" s="89"/>
      <c r="B184" s="112" t="s">
        <v>253</v>
      </c>
      <c r="C184" s="112" t="str">
        <f>"Hotel- und Kurbetriebe: Logiernächte im August "&amp;$C$3&amp;", nach Schweizer Tourismusregionen"</f>
        <v>Hotel- und Kurbetriebe: Logiernächte im August 2026, nach Schweizer Tourismusregionen</v>
      </c>
      <c r="D184" s="112" t="str">
        <f>"Manaschis d' hotel e da cura: pernottaziuns il avust "&amp;$C$3&amp;", tenor regiuns turisticas svizras"</f>
        <v>Manaschis d' hotel e da cura: pernottaziuns il avust 2026, tenor regiuns turisticas svizras</v>
      </c>
      <c r="E184" s="112" t="str">
        <f>"Alberghi e stabilimenti di cura: pernottamenti nel mese di agosto "&amp;$C$3&amp;", per regioni turistiche svizzere"</f>
        <v>Alberghi e stabilimenti di cura: pernottamenti nel mese di agosto 2026, per regioni turistiche svizzere</v>
      </c>
      <c r="F184" s="90"/>
    </row>
    <row r="185" spans="1:6" x14ac:dyDescent="0.2">
      <c r="A185" s="89"/>
      <c r="B185" s="89"/>
      <c r="C185" s="89"/>
      <c r="D185" s="89"/>
      <c r="E185" s="89"/>
      <c r="F185" s="90"/>
    </row>
    <row r="186" spans="1:6" x14ac:dyDescent="0.2">
      <c r="A186" s="89"/>
      <c r="B186" s="112" t="s">
        <v>254</v>
      </c>
      <c r="C186" s="112" t="str">
        <f>"August "&amp;$C$3</f>
        <v>August 2026</v>
      </c>
      <c r="D186" s="112" t="str">
        <f>"Avust "&amp;$C$3</f>
        <v>Avust 2026</v>
      </c>
      <c r="E186" s="112" t="str">
        <f>"Agosto "&amp;$C$3</f>
        <v>Agosto 2026</v>
      </c>
      <c r="F186" s="90"/>
    </row>
    <row r="187" spans="1:6" x14ac:dyDescent="0.2">
      <c r="A187" s="89"/>
      <c r="B187" s="112" t="s">
        <v>255</v>
      </c>
      <c r="C187" s="112" t="str">
        <f>"August "&amp;$C$3-1</f>
        <v>August 2025</v>
      </c>
      <c r="D187" s="112" t="str">
        <f>"Avust "&amp;$C$3-1</f>
        <v>Avust 2025</v>
      </c>
      <c r="E187" s="112" t="str">
        <f>"Agosto "&amp;$C$3-1</f>
        <v>Agosto 2025</v>
      </c>
      <c r="F187" s="90"/>
    </row>
    <row r="188" spans="1:6" x14ac:dyDescent="0.2">
      <c r="A188" s="89"/>
      <c r="B188" s="112" t="s">
        <v>256</v>
      </c>
      <c r="C188" s="112" t="str">
        <f>"Januar-August "&amp;$D$3</f>
        <v>Januar-August 26</v>
      </c>
      <c r="D188" s="112" t="str">
        <f>"Schaner-avust "&amp;$D$3</f>
        <v>Schaner-avust 26</v>
      </c>
      <c r="E188" s="112" t="str">
        <f>"Gennaio-agosto "&amp;$D$3</f>
        <v>Gennaio-agosto 26</v>
      </c>
      <c r="F188" s="90"/>
    </row>
    <row r="189" spans="1:6" x14ac:dyDescent="0.2">
      <c r="A189" s="89"/>
      <c r="B189" s="112" t="s">
        <v>257</v>
      </c>
      <c r="C189" s="112" t="str">
        <f>"Januar-August "&amp;$D$3-1</f>
        <v>Januar-August 25</v>
      </c>
      <c r="D189" s="112" t="str">
        <f>"Schaner-avust "&amp;$D$3-1</f>
        <v>Schaner-avust 25</v>
      </c>
      <c r="E189" s="112" t="str">
        <f>"Gennaio-agosto "&amp;$D$3-1</f>
        <v>Gennaio-agosto 25</v>
      </c>
      <c r="F189" s="90"/>
    </row>
    <row r="190" spans="1:6" x14ac:dyDescent="0.2">
      <c r="A190" s="89"/>
      <c r="B190" s="90"/>
      <c r="C190" s="90"/>
      <c r="D190" s="90"/>
      <c r="E190" s="90"/>
      <c r="F190" s="90"/>
    </row>
    <row r="191" spans="1:6" ht="25.5" x14ac:dyDescent="0.2">
      <c r="A191" s="90"/>
      <c r="B191" s="88" t="s">
        <v>247</v>
      </c>
      <c r="C191" s="88" t="s">
        <v>609</v>
      </c>
      <c r="D191" s="88" t="s">
        <v>610</v>
      </c>
      <c r="E191" s="88" t="s">
        <v>611</v>
      </c>
      <c r="F191" s="90"/>
    </row>
    <row r="192" spans="1:6" x14ac:dyDescent="0.2">
      <c r="A192" s="90"/>
      <c r="B192" s="90"/>
      <c r="C192" s="90"/>
      <c r="D192" s="90"/>
      <c r="E192" s="90"/>
      <c r="F192" s="90"/>
    </row>
    <row r="193" spans="1:6" x14ac:dyDescent="0.2">
      <c r="A193" s="90"/>
      <c r="B193" s="88" t="s">
        <v>258</v>
      </c>
      <c r="C193" s="94" t="s">
        <v>591</v>
      </c>
      <c r="D193" s="94" t="s">
        <v>592</v>
      </c>
      <c r="E193" s="94" t="s">
        <v>593</v>
      </c>
      <c r="F193" s="90"/>
    </row>
    <row r="194" spans="1:6" ht="13.5" thickBot="1" x14ac:dyDescent="0.25">
      <c r="A194" s="105"/>
      <c r="B194" s="105"/>
      <c r="C194" s="105"/>
      <c r="D194" s="105"/>
      <c r="E194" s="105"/>
      <c r="F194" s="90"/>
    </row>
    <row r="195" spans="1:6" x14ac:dyDescent="0.2">
      <c r="A195" s="89"/>
      <c r="B195" s="92"/>
      <c r="C195" s="92"/>
      <c r="D195" s="90"/>
      <c r="E195" s="90"/>
      <c r="F195" s="90"/>
    </row>
    <row r="196" spans="1:6" ht="25.5" x14ac:dyDescent="0.2">
      <c r="A196" s="89" t="s">
        <v>259</v>
      </c>
      <c r="B196" s="112" t="s">
        <v>260</v>
      </c>
      <c r="C196" s="112" t="str">
        <f>"Hotel- und Kurbetriebe: Logiernächte im September "&amp;$C$3&amp;", nach Destinationen"</f>
        <v>Hotel- und Kurbetriebe: Logiernächte im September 2026, nach Destinationen</v>
      </c>
      <c r="D196" s="112" t="str">
        <f>"Manaschis d' hotel e da cura: pernottaziuns il september "&amp;$C$3&amp;", tenor destinaziuns"</f>
        <v>Manaschis d' hotel e da cura: pernottaziuns il september 2026, tenor destinaziuns</v>
      </c>
      <c r="E196" s="112" t="str">
        <f>"Alberghi e stabilimenti di cura: pernottamenti nel mese di settembre "&amp;$C$3&amp;", per destinazione"</f>
        <v>Alberghi e stabilimenti di cura: pernottamenti nel mese di settembre 2026, per destinazione</v>
      </c>
      <c r="F196" s="90"/>
    </row>
    <row r="197" spans="1:6" ht="25.5" x14ac:dyDescent="0.2">
      <c r="A197" s="89"/>
      <c r="B197" s="112" t="s">
        <v>261</v>
      </c>
      <c r="C197" s="112" t="str">
        <f>"Hotel- und Kurbetriebe: Logiernächte im September "&amp;$C$3&amp;", nach Herkunft"</f>
        <v>Hotel- und Kurbetriebe: Logiernächte im September 2026, nach Herkunft</v>
      </c>
      <c r="D197" s="112" t="str">
        <f>"Manaschis d' hotel e da cura: pernottaziuns il september "&amp;$C$3&amp;", tenor la derivanza"</f>
        <v>Manaschis d' hotel e da cura: pernottaziuns il september 2026, tenor la derivanza</v>
      </c>
      <c r="E197" s="112" t="str">
        <f>"Alberghi e stabilimenti di cura: pernottamenti nel mese di settembre "&amp;$C$3&amp;", per provenienza"</f>
        <v>Alberghi e stabilimenti di cura: pernottamenti nel mese di settembre 2026, per provenienza</v>
      </c>
      <c r="F197" s="90"/>
    </row>
    <row r="198" spans="1:6" ht="38.25" x14ac:dyDescent="0.2">
      <c r="A198" s="89"/>
      <c r="B198" s="112" t="s">
        <v>262</v>
      </c>
      <c r="C198" s="112" t="str">
        <f>"Hotel- und Kurbetriebe: Logiernächte im September "&amp;$C$3&amp;", nach Schweizer Tourismusregionen"</f>
        <v>Hotel- und Kurbetriebe: Logiernächte im September 2026, nach Schweizer Tourismusregionen</v>
      </c>
      <c r="D198" s="112" t="str">
        <f>"Manaschis d' hotel e da cura: pernottaziuns il september "&amp;$C$3&amp;", tenor regiuns turisticas svizras"</f>
        <v>Manaschis d' hotel e da cura: pernottaziuns il september 2026, tenor regiuns turisticas svizras</v>
      </c>
      <c r="E198" s="112" t="str">
        <f>"Alberghi e stabilimenti di cura: pernottamenti nel mese di settembre "&amp;$C$3&amp;", per regioni turistiche svizzere"</f>
        <v>Alberghi e stabilimenti di cura: pernottamenti nel mese di settembre 2026, per regioni turistiche svizzere</v>
      </c>
      <c r="F198" s="90"/>
    </row>
    <row r="199" spans="1:6" x14ac:dyDescent="0.2">
      <c r="A199" s="89"/>
      <c r="B199" s="89"/>
      <c r="C199" s="89"/>
      <c r="D199" s="89"/>
      <c r="E199" s="89"/>
      <c r="F199" s="90"/>
    </row>
    <row r="200" spans="1:6" x14ac:dyDescent="0.2">
      <c r="A200" s="89"/>
      <c r="B200" s="112" t="s">
        <v>263</v>
      </c>
      <c r="C200" s="112" t="str">
        <f>"September "&amp;$C$3</f>
        <v>September 2026</v>
      </c>
      <c r="D200" s="112" t="str">
        <f>"September "&amp;$C$3</f>
        <v>September 2026</v>
      </c>
      <c r="E200" s="112" t="str">
        <f>"Settembre "&amp;$C$3</f>
        <v>Settembre 2026</v>
      </c>
      <c r="F200" s="90"/>
    </row>
    <row r="201" spans="1:6" x14ac:dyDescent="0.2">
      <c r="A201" s="89"/>
      <c r="B201" s="112" t="s">
        <v>264</v>
      </c>
      <c r="C201" s="112" t="str">
        <f>"September "&amp;$C$3-1</f>
        <v>September 2025</v>
      </c>
      <c r="D201" s="112" t="str">
        <f>"September "&amp;$C$3-1</f>
        <v>September 2025</v>
      </c>
      <c r="E201" s="112" t="str">
        <f>"Settembre "&amp;$C$3-1</f>
        <v>Settembre 2025</v>
      </c>
      <c r="F201" s="90"/>
    </row>
    <row r="202" spans="1:6" x14ac:dyDescent="0.2">
      <c r="A202" s="89"/>
      <c r="B202" s="112" t="s">
        <v>265</v>
      </c>
      <c r="C202" s="112" t="str">
        <f>"Januar-September "&amp;$D$3</f>
        <v>Januar-September 26</v>
      </c>
      <c r="D202" s="112" t="str">
        <f>"Schaner-september "&amp;$D$3</f>
        <v>Schaner-september 26</v>
      </c>
      <c r="E202" s="112" t="str">
        <f>"Gennaio-settembre "&amp;$D$3</f>
        <v>Gennaio-settembre 26</v>
      </c>
      <c r="F202" s="90"/>
    </row>
    <row r="203" spans="1:6" x14ac:dyDescent="0.2">
      <c r="A203" s="89"/>
      <c r="B203" s="112" t="s">
        <v>266</v>
      </c>
      <c r="C203" s="112" t="str">
        <f>"Januar-September "&amp;$D$3-1</f>
        <v>Januar-September 25</v>
      </c>
      <c r="D203" s="112" t="str">
        <f>"Schaner-september "&amp;$D$3-1</f>
        <v>Schaner-september 25</v>
      </c>
      <c r="E203" s="112" t="str">
        <f>"Gennaio-settembre "&amp;$D$3-1</f>
        <v>Gennaio-settembre 25</v>
      </c>
      <c r="F203" s="90"/>
    </row>
    <row r="204" spans="1:6" x14ac:dyDescent="0.2">
      <c r="A204" s="89"/>
      <c r="B204" s="90"/>
      <c r="C204" s="90"/>
      <c r="D204" s="90"/>
      <c r="E204" s="90"/>
      <c r="F204" s="90"/>
    </row>
    <row r="205" spans="1:6" ht="25.5" x14ac:dyDescent="0.2">
      <c r="A205" s="90"/>
      <c r="B205" s="88" t="s">
        <v>267</v>
      </c>
      <c r="C205" s="88" t="s">
        <v>612</v>
      </c>
      <c r="D205" s="88" t="s">
        <v>613</v>
      </c>
      <c r="E205" s="88" t="s">
        <v>614</v>
      </c>
      <c r="F205" s="90"/>
    </row>
    <row r="206" spans="1:6" x14ac:dyDescent="0.2">
      <c r="A206" s="90"/>
      <c r="B206" s="90"/>
      <c r="C206" s="90"/>
      <c r="D206" s="90"/>
      <c r="E206" s="90"/>
      <c r="F206" s="90"/>
    </row>
    <row r="207" spans="1:6" x14ac:dyDescent="0.2">
      <c r="A207" s="90"/>
      <c r="B207" s="88" t="s">
        <v>268</v>
      </c>
      <c r="C207" s="94" t="s">
        <v>591</v>
      </c>
      <c r="D207" s="94" t="s">
        <v>592</v>
      </c>
      <c r="E207" s="94" t="s">
        <v>593</v>
      </c>
      <c r="F207" s="90"/>
    </row>
    <row r="208" spans="1:6" ht="13.5" thickBot="1" x14ac:dyDescent="0.25">
      <c r="A208" s="105"/>
      <c r="B208" s="105"/>
      <c r="C208" s="105"/>
      <c r="D208" s="105"/>
      <c r="E208" s="105"/>
      <c r="F208" s="90"/>
    </row>
    <row r="209" spans="1:6" ht="12.75" customHeight="1" x14ac:dyDescent="0.2">
      <c r="A209" s="89"/>
      <c r="B209" s="92"/>
      <c r="C209" s="92"/>
      <c r="D209" s="90"/>
      <c r="E209" s="90"/>
      <c r="F209" s="90"/>
    </row>
    <row r="210" spans="1:6" ht="12.75" customHeight="1" x14ac:dyDescent="0.2">
      <c r="A210" s="89" t="s">
        <v>269</v>
      </c>
      <c r="B210" s="112" t="s">
        <v>270</v>
      </c>
      <c r="C210" s="112" t="str">
        <f>"Hotel- und Kurbetriebe: Logiernächte im Oktober "&amp;$C$3&amp;", nach Destinationen"</f>
        <v>Hotel- und Kurbetriebe: Logiernächte im Oktober 2026, nach Destinationen</v>
      </c>
      <c r="D210" s="112" t="str">
        <f>"Manaschis d' hotel e da cura: pernottaziuns il oktober "&amp;$C$3&amp;", tenor destinaziuns"</f>
        <v>Manaschis d' hotel e da cura: pernottaziuns il oktober 2026, tenor destinaziuns</v>
      </c>
      <c r="E210" s="112" t="str">
        <f>"Alberghi e stabilimenti di cura: pernottamenti nel mese di ottobre "&amp;$C$3&amp;", per destinazione"</f>
        <v>Alberghi e stabilimenti di cura: pernottamenti nel mese di ottobre 2026, per destinazione</v>
      </c>
      <c r="F210" s="90"/>
    </row>
    <row r="211" spans="1:6" ht="12.75" customHeight="1" x14ac:dyDescent="0.2">
      <c r="A211" s="89"/>
      <c r="B211" s="112" t="s">
        <v>271</v>
      </c>
      <c r="C211" s="112" t="str">
        <f>"Hotel- und Kurbetriebe: Logiernächte im Oktober "&amp;$C$3&amp;", nach Herkunft"</f>
        <v>Hotel- und Kurbetriebe: Logiernächte im Oktober 2026, nach Herkunft</v>
      </c>
      <c r="D211" s="112" t="str">
        <f>"Manaschis d' hotel e da cura: pernottaziuns il oktober "&amp;$C$3&amp;", tenor la derivanza"</f>
        <v>Manaschis d' hotel e da cura: pernottaziuns il oktober 2026, tenor la derivanza</v>
      </c>
      <c r="E211" s="112" t="str">
        <f>"Alberghi e stabilimenti di cura: pernottamenti nel mese di ottobre "&amp;$C$3&amp;", per provenienza"</f>
        <v>Alberghi e stabilimenti di cura: pernottamenti nel mese di ottobre 2026, per provenienza</v>
      </c>
      <c r="F211" s="90"/>
    </row>
    <row r="212" spans="1:6" ht="12.75" customHeight="1" x14ac:dyDescent="0.2">
      <c r="A212" s="89"/>
      <c r="B212" s="112" t="s">
        <v>272</v>
      </c>
      <c r="C212" s="112" t="str">
        <f>"Hotel- und Kurbetriebe: Logiernächte im Oktober "&amp;$C$3&amp;", nach Schweizer Tourismusregionen"</f>
        <v>Hotel- und Kurbetriebe: Logiernächte im Oktober 2026, nach Schweizer Tourismusregionen</v>
      </c>
      <c r="D212" s="112" t="str">
        <f>"Manaschis d' hotel e da cura: pernottaziuns il oktober "&amp;$C$3&amp;", tenor regiuns turisticas svizras"</f>
        <v>Manaschis d' hotel e da cura: pernottaziuns il oktober 2026, tenor regiuns turisticas svizras</v>
      </c>
      <c r="E212" s="112" t="str">
        <f>"Alberghi e stabilimenti di cura: pernottamenti nel mese di ottobre "&amp;$C$3&amp;", per regioni turistiche svizzere"</f>
        <v>Alberghi e stabilimenti di cura: pernottamenti nel mese di ottobre 2026, per regioni turistiche svizzere</v>
      </c>
      <c r="F212" s="90"/>
    </row>
    <row r="213" spans="1:6" ht="12.75" customHeight="1" x14ac:dyDescent="0.2">
      <c r="A213" s="89"/>
      <c r="B213" s="89"/>
      <c r="C213" s="89"/>
      <c r="D213" s="89"/>
      <c r="E213" s="89"/>
      <c r="F213" s="90"/>
    </row>
    <row r="214" spans="1:6" ht="12.75" customHeight="1" x14ac:dyDescent="0.2">
      <c r="A214" s="89"/>
      <c r="B214" s="112" t="s">
        <v>273</v>
      </c>
      <c r="C214" s="112" t="str">
        <f>"Oktober "&amp;$C$3</f>
        <v>Oktober 2026</v>
      </c>
      <c r="D214" s="112" t="str">
        <f>"Oktober "&amp;$C$3</f>
        <v>Oktober 2026</v>
      </c>
      <c r="E214" s="112" t="str">
        <f>"Ottobre "&amp;$C$3</f>
        <v>Ottobre 2026</v>
      </c>
      <c r="F214" s="90"/>
    </row>
    <row r="215" spans="1:6" ht="12.75" customHeight="1" x14ac:dyDescent="0.2">
      <c r="A215" s="89"/>
      <c r="B215" s="112" t="s">
        <v>274</v>
      </c>
      <c r="C215" s="112" t="str">
        <f>"Oktober "&amp;$C$3-1</f>
        <v>Oktober 2025</v>
      </c>
      <c r="D215" s="112" t="str">
        <f>"Oktober "&amp;$C$3-1</f>
        <v>Oktober 2025</v>
      </c>
      <c r="E215" s="112" t="str">
        <f>"Ottobre "&amp;$C$3-1</f>
        <v>Ottobre 2025</v>
      </c>
      <c r="F215" s="90"/>
    </row>
    <row r="216" spans="1:6" ht="12.75" customHeight="1" x14ac:dyDescent="0.2">
      <c r="A216" s="89"/>
      <c r="B216" s="112" t="s">
        <v>275</v>
      </c>
      <c r="C216" s="112" t="str">
        <f>"Januar-Oktober "&amp;$D$3</f>
        <v>Januar-Oktober 26</v>
      </c>
      <c r="D216" s="112" t="str">
        <f>"Schaner-oktober "&amp;$D$3</f>
        <v>Schaner-oktober 26</v>
      </c>
      <c r="E216" s="112" t="str">
        <f>"Gennaio-ottobre "&amp;$D$3</f>
        <v>Gennaio-ottobre 26</v>
      </c>
      <c r="F216" s="90"/>
    </row>
    <row r="217" spans="1:6" ht="25.5" x14ac:dyDescent="0.2">
      <c r="A217" s="89"/>
      <c r="B217" s="112" t="s">
        <v>276</v>
      </c>
      <c r="C217" s="112" t="str">
        <f>"Januar-Oktober "&amp;$D$3-1</f>
        <v>Januar-Oktober 25</v>
      </c>
      <c r="D217" s="112" t="str">
        <f>"Schaner-oktober "&amp;$D$3-1</f>
        <v>Schaner-oktober 25</v>
      </c>
      <c r="E217" s="112" t="str">
        <f>"Gennaio-ottobre "&amp;$D$3-1</f>
        <v>Gennaio-ottobre 25</v>
      </c>
      <c r="F217" s="90"/>
    </row>
    <row r="218" spans="1:6" x14ac:dyDescent="0.2">
      <c r="A218" s="89"/>
      <c r="B218" s="90"/>
      <c r="C218" s="90"/>
      <c r="D218" s="90"/>
      <c r="E218" s="90"/>
      <c r="F218" s="90"/>
    </row>
    <row r="219" spans="1:6" ht="25.5" x14ac:dyDescent="0.2">
      <c r="A219" s="90"/>
      <c r="B219" s="88" t="s">
        <v>277</v>
      </c>
      <c r="C219" s="88" t="s">
        <v>615</v>
      </c>
      <c r="D219" s="88" t="s">
        <v>616</v>
      </c>
      <c r="E219" s="88" t="s">
        <v>617</v>
      </c>
      <c r="F219" s="90"/>
    </row>
    <row r="220" spans="1:6" x14ac:dyDescent="0.2">
      <c r="A220" s="90"/>
      <c r="B220" s="90"/>
      <c r="C220" s="90"/>
      <c r="D220" s="90"/>
      <c r="E220" s="90"/>
      <c r="F220" s="90"/>
    </row>
    <row r="221" spans="1:6" ht="25.5" x14ac:dyDescent="0.2">
      <c r="A221" s="90"/>
      <c r="B221" s="88" t="s">
        <v>278</v>
      </c>
      <c r="C221" s="94" t="s">
        <v>618</v>
      </c>
      <c r="D221" s="94" t="s">
        <v>619</v>
      </c>
      <c r="E221" s="94" t="s">
        <v>620</v>
      </c>
      <c r="F221" s="90"/>
    </row>
    <row r="222" spans="1:6" ht="12.75" customHeight="1" thickBot="1" x14ac:dyDescent="0.25">
      <c r="A222" s="105"/>
      <c r="B222" s="105"/>
      <c r="C222" s="105"/>
      <c r="D222" s="105"/>
      <c r="E222" s="105"/>
      <c r="F222" s="90"/>
    </row>
    <row r="223" spans="1:6" ht="12.75" customHeight="1" x14ac:dyDescent="0.2">
      <c r="A223" s="89"/>
      <c r="B223" s="92"/>
      <c r="C223" s="92"/>
      <c r="D223" s="90"/>
      <c r="E223" s="90"/>
      <c r="F223" s="90"/>
    </row>
    <row r="224" spans="1:6" ht="12.75" customHeight="1" x14ac:dyDescent="0.2">
      <c r="A224" s="89" t="s">
        <v>279</v>
      </c>
      <c r="B224" s="112" t="s">
        <v>280</v>
      </c>
      <c r="C224" s="112" t="str">
        <f>"Hotel- und Kurbetriebe: Logiernächte im November "&amp;$C$3&amp;", nach Destinationen"</f>
        <v>Hotel- und Kurbetriebe: Logiernächte im November 2026, nach Destinationen</v>
      </c>
      <c r="D224" s="112" t="str">
        <f>"Manaschis d' hotel e da cura: pernottaziuns il november "&amp;$C$3&amp;", tenor destinaziuns"</f>
        <v>Manaschis d' hotel e da cura: pernottaziuns il november 2026, tenor destinaziuns</v>
      </c>
      <c r="E224" s="112" t="str">
        <f>"Alberghi e stabilimenti di cura: pernottamenti nel mese di novembre "&amp;$C$3&amp;", per destinazione"</f>
        <v>Alberghi e stabilimenti di cura: pernottamenti nel mese di novembre 2026, per destinazione</v>
      </c>
      <c r="F224" s="90"/>
    </row>
    <row r="225" spans="1:6" ht="12.75" customHeight="1" x14ac:dyDescent="0.2">
      <c r="A225" s="89"/>
      <c r="B225" s="112" t="s">
        <v>281</v>
      </c>
      <c r="C225" s="112" t="str">
        <f>"Hotel- und Kurbetriebe: Logiernächte im November "&amp;$C$3&amp;", nach Herkunft"</f>
        <v>Hotel- und Kurbetriebe: Logiernächte im November 2026, nach Herkunft</v>
      </c>
      <c r="D225" s="112" t="str">
        <f>"Manaschis d' hotel e da cura: pernottaziuns il november "&amp;$C$3&amp;", tenor la derivanza"</f>
        <v>Manaschis d' hotel e da cura: pernottaziuns il november 2026, tenor la derivanza</v>
      </c>
      <c r="E225" s="112" t="str">
        <f>"Alberghi e stabilimenti di cura: pernottamenti nel mese di novembre "&amp;$C$3&amp;", per provenienza"</f>
        <v>Alberghi e stabilimenti di cura: pernottamenti nel mese di novembre 2026, per provenienza</v>
      </c>
      <c r="F225" s="90"/>
    </row>
    <row r="226" spans="1:6" ht="12.75" customHeight="1" x14ac:dyDescent="0.2">
      <c r="A226" s="89"/>
      <c r="B226" s="112" t="s">
        <v>282</v>
      </c>
      <c r="C226" s="112" t="str">
        <f>"Hotel- und Kurbetriebe: Logiernächte im November "&amp;$C$3&amp;", nach Schweizer Tourismusregionen"</f>
        <v>Hotel- und Kurbetriebe: Logiernächte im November 2026, nach Schweizer Tourismusregionen</v>
      </c>
      <c r="D226" s="112" t="str">
        <f>"Manaschis d' hotel e da cura: pernottaziuns il november "&amp;$C$3&amp;", tenor regiuns turisticas svizras"</f>
        <v>Manaschis d' hotel e da cura: pernottaziuns il november 2026, tenor regiuns turisticas svizras</v>
      </c>
      <c r="E226" s="112" t="str">
        <f>"Alberghi e stabilimenti di cura: pernottamenti nel mese di novembre "&amp;$C$3&amp;", per regioni turistiche svizzere"</f>
        <v>Alberghi e stabilimenti di cura: pernottamenti nel mese di novembre 2026, per regioni turistiche svizzere</v>
      </c>
      <c r="F226" s="90"/>
    </row>
    <row r="227" spans="1:6" ht="12.75" customHeight="1" x14ac:dyDescent="0.2">
      <c r="A227" s="89"/>
      <c r="B227" s="89"/>
      <c r="C227" s="89"/>
      <c r="D227" s="89"/>
      <c r="E227" s="89"/>
      <c r="F227" s="90"/>
    </row>
    <row r="228" spans="1:6" ht="12.75" customHeight="1" x14ac:dyDescent="0.2">
      <c r="A228" s="89"/>
      <c r="B228" s="112" t="s">
        <v>283</v>
      </c>
      <c r="C228" s="112" t="str">
        <f>"November "&amp;$C$3</f>
        <v>November 2026</v>
      </c>
      <c r="D228" s="112" t="str">
        <f>"November "&amp;$C$3</f>
        <v>November 2026</v>
      </c>
      <c r="E228" s="112" t="str">
        <f>"Novembre "&amp;$C$3</f>
        <v>Novembre 2026</v>
      </c>
      <c r="F228" s="90"/>
    </row>
    <row r="229" spans="1:6" ht="12.75" customHeight="1" x14ac:dyDescent="0.2">
      <c r="A229" s="89"/>
      <c r="B229" s="112" t="s">
        <v>284</v>
      </c>
      <c r="C229" s="112" t="str">
        <f>"November "&amp;$C$3-1</f>
        <v>November 2025</v>
      </c>
      <c r="D229" s="112" t="str">
        <f>"November "&amp;$C$3-1</f>
        <v>November 2025</v>
      </c>
      <c r="E229" s="112" t="str">
        <f>"Novembre "&amp;$C$3-1</f>
        <v>Novembre 2025</v>
      </c>
      <c r="F229" s="90"/>
    </row>
    <row r="230" spans="1:6" ht="12.75" customHeight="1" x14ac:dyDescent="0.2">
      <c r="A230" s="89"/>
      <c r="B230" s="112" t="s">
        <v>285</v>
      </c>
      <c r="C230" s="112" t="str">
        <f>"Januar-November "&amp;$D$3</f>
        <v>Januar-November 26</v>
      </c>
      <c r="D230" s="112" t="str">
        <f>"Schaner-november "&amp;$D$3</f>
        <v>Schaner-november 26</v>
      </c>
      <c r="E230" s="112" t="str">
        <f>"Gennaio-novembre "&amp;$D$3</f>
        <v>Gennaio-novembre 26</v>
      </c>
      <c r="F230" s="90"/>
    </row>
    <row r="231" spans="1:6" ht="25.5" x14ac:dyDescent="0.2">
      <c r="A231" s="89"/>
      <c r="B231" s="112" t="s">
        <v>286</v>
      </c>
      <c r="C231" s="112" t="str">
        <f>"Januar-November "&amp;$D$3-1</f>
        <v>Januar-November 25</v>
      </c>
      <c r="D231" s="112" t="str">
        <f>"Schaner-november "&amp;$D$3-1</f>
        <v>Schaner-november 25</v>
      </c>
      <c r="E231" s="112" t="str">
        <f>"Gennaio-novembre "&amp;$D$3-1</f>
        <v>Gennaio-novembre 25</v>
      </c>
      <c r="F231" s="90"/>
    </row>
    <row r="232" spans="1:6" x14ac:dyDescent="0.2">
      <c r="A232" s="89"/>
      <c r="B232" s="90"/>
      <c r="C232" s="90"/>
      <c r="D232" s="90"/>
      <c r="E232" s="90"/>
      <c r="F232" s="90"/>
    </row>
    <row r="233" spans="1:6" ht="25.5" x14ac:dyDescent="0.2">
      <c r="A233" s="90"/>
      <c r="B233" s="88" t="s">
        <v>287</v>
      </c>
      <c r="C233" s="88" t="s">
        <v>621</v>
      </c>
      <c r="D233" s="88" t="s">
        <v>622</v>
      </c>
      <c r="E233" s="88" t="s">
        <v>623</v>
      </c>
      <c r="F233" s="90"/>
    </row>
    <row r="234" spans="1:6" x14ac:dyDescent="0.2">
      <c r="A234" s="90"/>
      <c r="B234" s="90"/>
      <c r="C234" s="90"/>
      <c r="D234" s="90"/>
      <c r="E234" s="90"/>
      <c r="F234" s="90"/>
    </row>
    <row r="235" spans="1:6" ht="25.5" x14ac:dyDescent="0.2">
      <c r="A235" s="90"/>
      <c r="B235" s="88" t="s">
        <v>288</v>
      </c>
      <c r="C235" s="94" t="s">
        <v>618</v>
      </c>
      <c r="D235" s="94" t="s">
        <v>619</v>
      </c>
      <c r="E235" s="94" t="s">
        <v>620</v>
      </c>
      <c r="F235" s="90"/>
    </row>
    <row r="236" spans="1:6" ht="12.75" customHeight="1" thickBot="1" x14ac:dyDescent="0.25">
      <c r="A236" s="105"/>
      <c r="B236" s="105"/>
      <c r="C236" s="105"/>
      <c r="D236" s="105"/>
      <c r="E236" s="105"/>
      <c r="F236" s="90"/>
    </row>
    <row r="237" spans="1:6" ht="12.75" customHeight="1" x14ac:dyDescent="0.2">
      <c r="A237" s="89"/>
      <c r="B237" s="92"/>
      <c r="C237" s="92"/>
      <c r="D237" s="90"/>
      <c r="E237" s="90"/>
      <c r="F237" s="90"/>
    </row>
    <row r="238" spans="1:6" ht="12.75" customHeight="1" x14ac:dyDescent="0.2">
      <c r="A238" s="89" t="s">
        <v>298</v>
      </c>
      <c r="B238" s="112" t="s">
        <v>289</v>
      </c>
      <c r="C238" s="112" t="str">
        <f>"Hotel- und Kurbetriebe: Logiernächte im Dezember "&amp;$C$3&amp;", nach Destinationen"</f>
        <v>Hotel- und Kurbetriebe: Logiernächte im Dezember 2026, nach Destinationen</v>
      </c>
      <c r="D238" s="112" t="str">
        <f>"Manaschis d' hotel e da cura: pernottaziuns il dezember "&amp;$C$3&amp;", tenor destinaziuns"</f>
        <v>Manaschis d' hotel e da cura: pernottaziuns il dezember 2026, tenor destinaziuns</v>
      </c>
      <c r="E238" s="112" t="str">
        <f>"Alberghi e stabilimenti di cura: pernottamenti nel mese di dicembre "&amp;$C$3&amp;", per destinazione"</f>
        <v>Alberghi e stabilimenti di cura: pernottamenti nel mese di dicembre 2026, per destinazione</v>
      </c>
      <c r="F238" s="90"/>
    </row>
    <row r="239" spans="1:6" ht="12.75" customHeight="1" x14ac:dyDescent="0.2">
      <c r="A239" s="89"/>
      <c r="B239" s="112" t="s">
        <v>290</v>
      </c>
      <c r="C239" s="112" t="str">
        <f>"Hotel- und Kurbetriebe: Logiernächte im Dezember "&amp;$C$3&amp;", nach Herkunft"</f>
        <v>Hotel- und Kurbetriebe: Logiernächte im Dezember 2026, nach Herkunft</v>
      </c>
      <c r="D239" s="112" t="str">
        <f>"Manaschis d' hotel e da cura: pernottaziuns il dezember "&amp;$C$3&amp;", tenor la derivanza"</f>
        <v>Manaschis d' hotel e da cura: pernottaziuns il dezember 2026, tenor la derivanza</v>
      </c>
      <c r="E239" s="112" t="str">
        <f>"Alberghi e stabilimenti di cura: pernottamenti nel mese di dicembre "&amp;$C$3&amp;", per provenienza"</f>
        <v>Alberghi e stabilimenti di cura: pernottamenti nel mese di dicembre 2026, per provenienza</v>
      </c>
      <c r="F239" s="90"/>
    </row>
    <row r="240" spans="1:6" ht="12.75" customHeight="1" x14ac:dyDescent="0.2">
      <c r="A240" s="89"/>
      <c r="B240" s="112" t="s">
        <v>291</v>
      </c>
      <c r="C240" s="112" t="str">
        <f>"Hotel- und Kurbetriebe: Logiernächte im Dezember "&amp;$C$3&amp;", nach Schweizer Tourismusregionen"</f>
        <v>Hotel- und Kurbetriebe: Logiernächte im Dezember 2026, nach Schweizer Tourismusregionen</v>
      </c>
      <c r="D240" s="112" t="str">
        <f>"Manaschis d' hotel e da cura: pernottaziuns il dezember "&amp;$C$3&amp;", tenor regiuns turisticas svizras"</f>
        <v>Manaschis d' hotel e da cura: pernottaziuns il dezember 2026, tenor regiuns turisticas svizras</v>
      </c>
      <c r="E240" s="112" t="str">
        <f>"Alberghi e stabilimenti di cura: pernottamenti nel mese di dicembre "&amp;$C$3&amp;", per regioni turistiche svizzere"</f>
        <v>Alberghi e stabilimenti di cura: pernottamenti nel mese di dicembre 2026, per regioni turistiche svizzere</v>
      </c>
      <c r="F240" s="90"/>
    </row>
    <row r="241" spans="1:6" ht="12.75" customHeight="1" x14ac:dyDescent="0.2">
      <c r="A241" s="89"/>
      <c r="B241" s="89"/>
      <c r="C241" s="89"/>
      <c r="D241" s="89"/>
      <c r="E241" s="89"/>
      <c r="F241" s="90"/>
    </row>
    <row r="242" spans="1:6" ht="12.75" customHeight="1" x14ac:dyDescent="0.2">
      <c r="A242" s="89"/>
      <c r="B242" s="112" t="s">
        <v>292</v>
      </c>
      <c r="C242" s="112" t="str">
        <f>"Dezember "&amp;$C$3</f>
        <v>Dezember 2026</v>
      </c>
      <c r="D242" s="112" t="str">
        <f>"Dezember "&amp;$C$3</f>
        <v>Dezember 2026</v>
      </c>
      <c r="E242" s="112" t="str">
        <f>"Dicembre "&amp;$C$3</f>
        <v>Dicembre 2026</v>
      </c>
      <c r="F242" s="90"/>
    </row>
    <row r="243" spans="1:6" ht="12.75" customHeight="1" x14ac:dyDescent="0.2">
      <c r="A243" s="89"/>
      <c r="B243" s="112" t="s">
        <v>293</v>
      </c>
      <c r="C243" s="112" t="str">
        <f>"Dezember "&amp;$C$3-1</f>
        <v>Dezember 2025</v>
      </c>
      <c r="D243" s="112" t="str">
        <f>"Dezember "&amp;$C$3-1</f>
        <v>Dezember 2025</v>
      </c>
      <c r="E243" s="112" t="str">
        <f>"Dicembre "&amp;$C$3-1</f>
        <v>Dicembre 2025</v>
      </c>
      <c r="F243" s="90"/>
    </row>
    <row r="244" spans="1:6" ht="12.75" customHeight="1" x14ac:dyDescent="0.2">
      <c r="A244" s="89"/>
      <c r="B244" s="112" t="s">
        <v>294</v>
      </c>
      <c r="C244" s="112" t="str">
        <f>"Januar-Dezember "&amp;$D$3</f>
        <v>Januar-Dezember 26</v>
      </c>
      <c r="D244" s="112" t="str">
        <f>"Schaner-dezember "&amp;$D$3</f>
        <v>Schaner-dezember 26</v>
      </c>
      <c r="E244" s="112" t="str">
        <f>"Gennaio-dicembre "&amp;$D$3</f>
        <v>Gennaio-dicembre 26</v>
      </c>
      <c r="F244" s="90"/>
    </row>
    <row r="245" spans="1:6" ht="25.5" x14ac:dyDescent="0.2">
      <c r="A245" s="89"/>
      <c r="B245" s="112" t="s">
        <v>295</v>
      </c>
      <c r="C245" s="112" t="str">
        <f>"Januar-Dezember "&amp;$D$3-1</f>
        <v>Januar-Dezember 25</v>
      </c>
      <c r="D245" s="112" t="str">
        <f>"Schaner-dezember "&amp;$D$3-1</f>
        <v>Schaner-dezember 25</v>
      </c>
      <c r="E245" s="112" t="str">
        <f>"Gennaio-dicembre "&amp;$D$3-1</f>
        <v>Gennaio-dicembre 25</v>
      </c>
      <c r="F245" s="90"/>
    </row>
    <row r="246" spans="1:6" x14ac:dyDescent="0.2">
      <c r="A246" s="89"/>
      <c r="B246" s="90"/>
      <c r="C246" s="90"/>
      <c r="D246" s="90"/>
      <c r="E246" s="90"/>
      <c r="F246" s="90"/>
    </row>
    <row r="247" spans="1:6" ht="25.5" x14ac:dyDescent="0.2">
      <c r="A247" s="90"/>
      <c r="B247" s="88" t="s">
        <v>296</v>
      </c>
      <c r="C247" s="88" t="s">
        <v>624</v>
      </c>
      <c r="D247" s="88" t="s">
        <v>625</v>
      </c>
      <c r="E247" s="88" t="s">
        <v>626</v>
      </c>
      <c r="F247" s="90"/>
    </row>
    <row r="248" spans="1:6" x14ac:dyDescent="0.2">
      <c r="A248" s="90"/>
      <c r="B248" s="90"/>
      <c r="C248" s="90"/>
      <c r="D248" s="90"/>
      <c r="E248" s="90"/>
      <c r="F248" s="90"/>
    </row>
    <row r="249" spans="1:6" ht="25.5" x14ac:dyDescent="0.2">
      <c r="A249" s="90"/>
      <c r="B249" s="88" t="s">
        <v>297</v>
      </c>
      <c r="C249" s="94" t="s">
        <v>618</v>
      </c>
      <c r="D249" s="94" t="s">
        <v>619</v>
      </c>
      <c r="E249" s="94" t="s">
        <v>620</v>
      </c>
      <c r="F249" s="90"/>
    </row>
    <row r="250" spans="1:6" x14ac:dyDescent="0.2">
      <c r="A250" s="90"/>
      <c r="B250" s="90"/>
      <c r="C250" s="90"/>
      <c r="D250" s="90"/>
      <c r="E250" s="90"/>
      <c r="F250" s="90"/>
    </row>
    <row r="251" spans="1:6" x14ac:dyDescent="0.2">
      <c r="A251" s="89"/>
      <c r="B251" s="92"/>
      <c r="C251" s="92"/>
      <c r="D251" s="90"/>
      <c r="E251" s="90"/>
      <c r="F251" s="90"/>
    </row>
    <row r="252" spans="1:6" ht="12.75" customHeight="1" x14ac:dyDescent="0.2">
      <c r="A252" s="89"/>
      <c r="B252" s="92"/>
      <c r="C252" s="92"/>
      <c r="D252" s="90"/>
      <c r="E252" s="90"/>
      <c r="F252" s="90"/>
    </row>
    <row r="253" spans="1:6" ht="12.75" customHeight="1" x14ac:dyDescent="0.2">
      <c r="A253" s="89" t="s">
        <v>370</v>
      </c>
      <c r="B253" s="112" t="s">
        <v>371</v>
      </c>
      <c r="C253" s="70" t="s">
        <v>367</v>
      </c>
      <c r="D253" s="70" t="s">
        <v>369</v>
      </c>
      <c r="E253" s="93" t="s">
        <v>368</v>
      </c>
      <c r="F253" s="90"/>
    </row>
    <row r="254" spans="1:6" ht="12.75" customHeight="1" x14ac:dyDescent="0.2">
      <c r="A254" s="89"/>
      <c r="B254" s="112" t="s">
        <v>372</v>
      </c>
      <c r="C254" s="112"/>
      <c r="D254" s="112"/>
      <c r="E254" s="112"/>
      <c r="F254" s="90"/>
    </row>
    <row r="255" spans="1:6" ht="12.75" customHeight="1" x14ac:dyDescent="0.2">
      <c r="A255" s="89"/>
      <c r="B255" s="112" t="s">
        <v>373</v>
      </c>
      <c r="C255" s="112"/>
      <c r="D255" s="112"/>
      <c r="E255" s="112"/>
      <c r="F255" s="90"/>
    </row>
    <row r="256" spans="1:6" ht="12.75" customHeight="1" x14ac:dyDescent="0.2">
      <c r="A256" s="89"/>
      <c r="B256" s="89"/>
      <c r="C256" s="89"/>
      <c r="D256" s="89"/>
      <c r="E256" s="89"/>
      <c r="F256" s="90"/>
    </row>
    <row r="257" spans="1:6" ht="12.75" customHeight="1" x14ac:dyDescent="0.2">
      <c r="A257" s="89"/>
      <c r="B257" s="112" t="s">
        <v>374</v>
      </c>
      <c r="C257" s="112" t="s">
        <v>381</v>
      </c>
      <c r="D257" s="112" t="s">
        <v>382</v>
      </c>
      <c r="E257" s="112" t="s">
        <v>383</v>
      </c>
      <c r="F257" s="90"/>
    </row>
    <row r="258" spans="1:6" ht="12.75" customHeight="1" x14ac:dyDescent="0.2">
      <c r="A258" s="89"/>
      <c r="B258" s="112" t="s">
        <v>375</v>
      </c>
      <c r="C258" s="112" t="s">
        <v>378</v>
      </c>
      <c r="D258" s="112" t="s">
        <v>379</v>
      </c>
      <c r="E258" s="112" t="s">
        <v>380</v>
      </c>
      <c r="F258" s="90"/>
    </row>
    <row r="259" spans="1:6" ht="12.75" customHeight="1" x14ac:dyDescent="0.2">
      <c r="A259" s="89"/>
      <c r="B259" s="112" t="s">
        <v>376</v>
      </c>
      <c r="C259" s="112"/>
      <c r="D259" s="112"/>
      <c r="E259" s="112"/>
      <c r="F259" s="90"/>
    </row>
    <row r="260" spans="1:6" ht="25.5" x14ac:dyDescent="0.2">
      <c r="A260" s="89"/>
      <c r="B260" s="112" t="s">
        <v>377</v>
      </c>
      <c r="C260" s="112"/>
      <c r="D260" s="112"/>
      <c r="E260" s="112"/>
      <c r="F260" s="90"/>
    </row>
    <row r="261" spans="1:6" x14ac:dyDescent="0.2">
      <c r="A261" s="89"/>
      <c r="B261" s="90"/>
      <c r="C261" s="90"/>
      <c r="D261" s="90"/>
      <c r="E261" s="90"/>
      <c r="F261" s="90"/>
    </row>
    <row r="262" spans="1:6" x14ac:dyDescent="0.2">
      <c r="A262" s="89" t="s">
        <v>58</v>
      </c>
      <c r="B262" s="70" t="s">
        <v>384</v>
      </c>
      <c r="C262" s="70" t="s">
        <v>387</v>
      </c>
      <c r="D262" s="70" t="s">
        <v>489</v>
      </c>
      <c r="E262" s="70" t="s">
        <v>445</v>
      </c>
      <c r="F262" s="90"/>
    </row>
    <row r="263" spans="1:6" x14ac:dyDescent="0.2">
      <c r="A263" s="90"/>
      <c r="B263" s="70" t="s">
        <v>385</v>
      </c>
      <c r="C263" s="70" t="s">
        <v>388</v>
      </c>
      <c r="D263" s="70" t="s">
        <v>446</v>
      </c>
      <c r="E263" s="70" t="s">
        <v>446</v>
      </c>
      <c r="F263" s="90"/>
    </row>
    <row r="264" spans="1:6" x14ac:dyDescent="0.2">
      <c r="A264" s="90"/>
      <c r="B264" s="70" t="s">
        <v>386</v>
      </c>
      <c r="C264" s="70" t="s">
        <v>308</v>
      </c>
      <c r="D264" s="70" t="s">
        <v>325</v>
      </c>
      <c r="E264" s="70" t="s">
        <v>325</v>
      </c>
      <c r="F264" s="90"/>
    </row>
    <row r="265" spans="1:6" x14ac:dyDescent="0.2">
      <c r="A265" s="90"/>
      <c r="B265" s="70" t="s">
        <v>443</v>
      </c>
      <c r="C265" s="70" t="s">
        <v>389</v>
      </c>
      <c r="D265" s="70" t="s">
        <v>389</v>
      </c>
      <c r="E265" s="70" t="s">
        <v>447</v>
      </c>
      <c r="F265" s="90"/>
    </row>
    <row r="266" spans="1:6" x14ac:dyDescent="0.2">
      <c r="A266" s="90"/>
      <c r="B266" s="70" t="s">
        <v>444</v>
      </c>
      <c r="C266" s="70" t="s">
        <v>390</v>
      </c>
      <c r="D266" s="70" t="s">
        <v>448</v>
      </c>
      <c r="E266" s="70" t="s">
        <v>448</v>
      </c>
      <c r="F266" s="90"/>
    </row>
    <row r="267" spans="1:6" x14ac:dyDescent="0.2">
      <c r="A267" s="90"/>
      <c r="B267" s="70" t="s">
        <v>511</v>
      </c>
      <c r="C267" s="70" t="s">
        <v>17</v>
      </c>
      <c r="D267" s="70" t="s">
        <v>143</v>
      </c>
      <c r="E267" s="70" t="s">
        <v>154</v>
      </c>
      <c r="F267" s="90"/>
    </row>
    <row r="268" spans="1:6" x14ac:dyDescent="0.2">
      <c r="A268" s="90"/>
      <c r="B268" s="70" t="s">
        <v>512</v>
      </c>
      <c r="C268" s="70" t="s">
        <v>22</v>
      </c>
      <c r="D268" s="70" t="s">
        <v>149</v>
      </c>
      <c r="E268" s="70" t="s">
        <v>159</v>
      </c>
      <c r="F268" s="90"/>
    </row>
    <row r="269" spans="1:6" x14ac:dyDescent="0.2">
      <c r="A269" s="90"/>
      <c r="B269" s="70" t="s">
        <v>513</v>
      </c>
      <c r="C269" s="70" t="s">
        <v>391</v>
      </c>
      <c r="D269" s="70" t="s">
        <v>449</v>
      </c>
      <c r="E269" s="70" t="s">
        <v>449</v>
      </c>
      <c r="F269" s="90"/>
    </row>
    <row r="270" spans="1:6" x14ac:dyDescent="0.2">
      <c r="A270" s="90"/>
      <c r="B270" s="70" t="s">
        <v>514</v>
      </c>
      <c r="C270" s="70" t="s">
        <v>392</v>
      </c>
      <c r="D270" s="70" t="s">
        <v>392</v>
      </c>
      <c r="E270" s="70" t="s">
        <v>450</v>
      </c>
      <c r="F270" s="90"/>
    </row>
    <row r="271" spans="1:6" x14ac:dyDescent="0.2">
      <c r="A271" s="90"/>
      <c r="B271" s="70" t="s">
        <v>515</v>
      </c>
      <c r="C271" s="70" t="s">
        <v>311</v>
      </c>
      <c r="D271" s="70" t="s">
        <v>311</v>
      </c>
      <c r="E271" s="70" t="s">
        <v>328</v>
      </c>
      <c r="F271" s="90"/>
    </row>
    <row r="272" spans="1:6" x14ac:dyDescent="0.2">
      <c r="A272" s="90"/>
      <c r="B272" s="70" t="s">
        <v>516</v>
      </c>
      <c r="C272" s="70" t="s">
        <v>353</v>
      </c>
      <c r="D272" s="70" t="s">
        <v>359</v>
      </c>
      <c r="E272" s="70" t="s">
        <v>363</v>
      </c>
      <c r="F272" s="90"/>
    </row>
    <row r="273" spans="1:6" x14ac:dyDescent="0.2">
      <c r="A273" s="90"/>
      <c r="B273" s="70" t="s">
        <v>517</v>
      </c>
      <c r="C273" s="70" t="s">
        <v>14</v>
      </c>
      <c r="D273" s="70" t="s">
        <v>138</v>
      </c>
      <c r="E273" s="70" t="s">
        <v>138</v>
      </c>
      <c r="F273" s="90"/>
    </row>
    <row r="274" spans="1:6" x14ac:dyDescent="0.2">
      <c r="A274" s="90"/>
      <c r="B274" s="70" t="s">
        <v>518</v>
      </c>
      <c r="C274" s="70" t="s">
        <v>393</v>
      </c>
      <c r="D274" s="70" t="s">
        <v>451</v>
      </c>
      <c r="E274" s="70" t="s">
        <v>451</v>
      </c>
      <c r="F274" s="90"/>
    </row>
    <row r="275" spans="1:6" x14ac:dyDescent="0.2">
      <c r="A275" s="90"/>
      <c r="B275" s="70" t="s">
        <v>519</v>
      </c>
      <c r="C275" s="70" t="s">
        <v>394</v>
      </c>
      <c r="D275" s="70" t="s">
        <v>490</v>
      </c>
      <c r="E275" s="70" t="s">
        <v>452</v>
      </c>
      <c r="F275" s="90"/>
    </row>
    <row r="276" spans="1:6" x14ac:dyDescent="0.2">
      <c r="A276" s="90"/>
      <c r="B276" s="70" t="s">
        <v>520</v>
      </c>
      <c r="C276" s="70" t="s">
        <v>18</v>
      </c>
      <c r="D276" s="70" t="s">
        <v>140</v>
      </c>
      <c r="E276" s="70" t="s">
        <v>152</v>
      </c>
      <c r="F276" s="90"/>
    </row>
    <row r="277" spans="1:6" x14ac:dyDescent="0.2">
      <c r="A277" s="90"/>
      <c r="B277" s="70" t="s">
        <v>521</v>
      </c>
      <c r="C277" s="70" t="s">
        <v>395</v>
      </c>
      <c r="D277" s="70" t="s">
        <v>491</v>
      </c>
      <c r="E277" s="70" t="s">
        <v>453</v>
      </c>
      <c r="F277" s="90"/>
    </row>
    <row r="278" spans="1:6" x14ac:dyDescent="0.2">
      <c r="A278" s="90"/>
      <c r="B278" s="70" t="s">
        <v>522</v>
      </c>
      <c r="C278" s="70" t="s">
        <v>396</v>
      </c>
      <c r="D278" s="70" t="s">
        <v>396</v>
      </c>
      <c r="E278" s="70" t="s">
        <v>454</v>
      </c>
      <c r="F278" s="90"/>
    </row>
    <row r="279" spans="1:6" x14ac:dyDescent="0.2">
      <c r="A279" s="90"/>
      <c r="B279" s="70" t="s">
        <v>523</v>
      </c>
      <c r="C279" s="70" t="s">
        <v>312</v>
      </c>
      <c r="D279" s="70" t="s">
        <v>455</v>
      </c>
      <c r="E279" s="70" t="s">
        <v>455</v>
      </c>
      <c r="F279" s="90"/>
    </row>
    <row r="280" spans="1:6" x14ac:dyDescent="0.2">
      <c r="A280" s="90"/>
      <c r="B280" s="70" t="s">
        <v>524</v>
      </c>
      <c r="C280" s="70" t="s">
        <v>397</v>
      </c>
      <c r="D280" s="70" t="s">
        <v>456</v>
      </c>
      <c r="E280" s="70" t="s">
        <v>456</v>
      </c>
      <c r="F280" s="90"/>
    </row>
    <row r="281" spans="1:6" x14ac:dyDescent="0.2">
      <c r="A281" s="90"/>
      <c r="B281" s="70" t="s">
        <v>526</v>
      </c>
      <c r="C281" s="70" t="s">
        <v>398</v>
      </c>
      <c r="D281" s="70" t="s">
        <v>398</v>
      </c>
      <c r="E281" s="70" t="s">
        <v>398</v>
      </c>
      <c r="F281" s="90"/>
    </row>
    <row r="282" spans="1:6" x14ac:dyDescent="0.2">
      <c r="A282" s="90"/>
      <c r="B282" s="70" t="s">
        <v>525</v>
      </c>
      <c r="C282" s="70" t="s">
        <v>399</v>
      </c>
      <c r="D282" s="70" t="s">
        <v>457</v>
      </c>
      <c r="E282" s="70" t="s">
        <v>457</v>
      </c>
      <c r="F282" s="90"/>
    </row>
    <row r="283" spans="1:6" x14ac:dyDescent="0.2">
      <c r="A283" s="90"/>
      <c r="B283" s="70" t="s">
        <v>527</v>
      </c>
      <c r="C283" s="70" t="s">
        <v>400</v>
      </c>
      <c r="D283" s="70" t="s">
        <v>458</v>
      </c>
      <c r="E283" s="70" t="s">
        <v>458</v>
      </c>
      <c r="F283" s="90"/>
    </row>
    <row r="284" spans="1:6" x14ac:dyDescent="0.2">
      <c r="A284" s="90"/>
      <c r="B284" s="70" t="s">
        <v>528</v>
      </c>
      <c r="C284" s="70" t="s">
        <v>309</v>
      </c>
      <c r="D284" s="70" t="s">
        <v>309</v>
      </c>
      <c r="E284" s="70" t="s">
        <v>326</v>
      </c>
      <c r="F284" s="90"/>
    </row>
    <row r="285" spans="1:6" x14ac:dyDescent="0.2">
      <c r="A285" s="90"/>
      <c r="B285" s="70" t="s">
        <v>529</v>
      </c>
      <c r="C285" s="70" t="s">
        <v>16</v>
      </c>
      <c r="D285" s="70" t="s">
        <v>139</v>
      </c>
      <c r="E285" s="70" t="s">
        <v>139</v>
      </c>
      <c r="F285" s="90"/>
    </row>
    <row r="286" spans="1:6" x14ac:dyDescent="0.2">
      <c r="A286" s="90"/>
      <c r="B286" s="70" t="s">
        <v>530</v>
      </c>
      <c r="C286" s="70" t="s">
        <v>20</v>
      </c>
      <c r="D286" s="70" t="s">
        <v>147</v>
      </c>
      <c r="E286" s="70" t="s">
        <v>158</v>
      </c>
      <c r="F286" s="90"/>
    </row>
    <row r="287" spans="1:6" x14ac:dyDescent="0.2">
      <c r="A287" s="90"/>
      <c r="B287" s="70" t="s">
        <v>531</v>
      </c>
      <c r="C287" s="70" t="s">
        <v>310</v>
      </c>
      <c r="D287" s="70" t="s">
        <v>327</v>
      </c>
      <c r="E287" s="70" t="s">
        <v>327</v>
      </c>
      <c r="F287" s="90"/>
    </row>
    <row r="288" spans="1:6" x14ac:dyDescent="0.2">
      <c r="A288" s="90"/>
      <c r="B288" s="70" t="s">
        <v>532</v>
      </c>
      <c r="C288" s="70" t="s">
        <v>401</v>
      </c>
      <c r="D288" s="70" t="s">
        <v>459</v>
      </c>
      <c r="E288" s="70" t="s">
        <v>459</v>
      </c>
      <c r="F288" s="90"/>
    </row>
    <row r="289" spans="1:6" x14ac:dyDescent="0.2">
      <c r="A289" s="90"/>
      <c r="B289" s="70" t="s">
        <v>533</v>
      </c>
      <c r="C289" s="70" t="s">
        <v>402</v>
      </c>
      <c r="D289" s="70" t="s">
        <v>492</v>
      </c>
      <c r="E289" s="70" t="s">
        <v>460</v>
      </c>
      <c r="F289" s="90"/>
    </row>
    <row r="290" spans="1:6" x14ac:dyDescent="0.2">
      <c r="A290" s="90"/>
      <c r="B290" s="70" t="s">
        <v>534</v>
      </c>
      <c r="C290" s="70" t="s">
        <v>403</v>
      </c>
      <c r="D290" s="70" t="s">
        <v>461</v>
      </c>
      <c r="E290" s="70" t="s">
        <v>461</v>
      </c>
      <c r="F290" s="90"/>
    </row>
    <row r="291" spans="1:6" x14ac:dyDescent="0.2">
      <c r="A291" s="90"/>
      <c r="B291" s="70" t="s">
        <v>535</v>
      </c>
      <c r="C291" s="70" t="s">
        <v>404</v>
      </c>
      <c r="D291" s="70" t="s">
        <v>404</v>
      </c>
      <c r="E291" s="70" t="s">
        <v>404</v>
      </c>
      <c r="F291" s="90"/>
    </row>
    <row r="292" spans="1:6" x14ac:dyDescent="0.2">
      <c r="A292" s="90"/>
      <c r="B292" s="70" t="s">
        <v>536</v>
      </c>
      <c r="C292" s="70" t="s">
        <v>405</v>
      </c>
      <c r="D292" s="70" t="s">
        <v>462</v>
      </c>
      <c r="E292" s="70" t="s">
        <v>462</v>
      </c>
      <c r="F292" s="90"/>
    </row>
    <row r="293" spans="1:6" x14ac:dyDescent="0.2">
      <c r="A293" s="90"/>
      <c r="B293" s="70" t="s">
        <v>537</v>
      </c>
      <c r="C293" s="70" t="s">
        <v>406</v>
      </c>
      <c r="D293" s="70" t="s">
        <v>406</v>
      </c>
      <c r="E293" s="70" t="s">
        <v>406</v>
      </c>
      <c r="F293" s="90"/>
    </row>
    <row r="294" spans="1:6" x14ac:dyDescent="0.2">
      <c r="A294" s="90"/>
      <c r="B294" s="70" t="s">
        <v>538</v>
      </c>
      <c r="C294" s="70" t="s">
        <v>407</v>
      </c>
      <c r="D294" s="70" t="s">
        <v>463</v>
      </c>
      <c r="E294" s="70" t="s">
        <v>463</v>
      </c>
      <c r="F294" s="90"/>
    </row>
    <row r="295" spans="1:6" x14ac:dyDescent="0.2">
      <c r="A295" s="90"/>
      <c r="B295" s="70" t="s">
        <v>539</v>
      </c>
      <c r="C295" s="70" t="s">
        <v>356</v>
      </c>
      <c r="D295" s="70" t="s">
        <v>356</v>
      </c>
      <c r="E295" s="70" t="s">
        <v>364</v>
      </c>
      <c r="F295" s="90"/>
    </row>
    <row r="296" spans="1:6" x14ac:dyDescent="0.2">
      <c r="A296" s="90"/>
      <c r="B296" s="70" t="s">
        <v>540</v>
      </c>
      <c r="C296" s="70" t="s">
        <v>408</v>
      </c>
      <c r="D296" s="70" t="s">
        <v>493</v>
      </c>
      <c r="E296" s="70" t="s">
        <v>408</v>
      </c>
      <c r="F296" s="90"/>
    </row>
    <row r="297" spans="1:6" x14ac:dyDescent="0.2">
      <c r="A297" s="90"/>
      <c r="B297" s="70" t="s">
        <v>541</v>
      </c>
      <c r="C297" s="70" t="s">
        <v>409</v>
      </c>
      <c r="D297" s="70" t="s">
        <v>409</v>
      </c>
      <c r="E297" s="70" t="s">
        <v>409</v>
      </c>
      <c r="F297" s="90"/>
    </row>
    <row r="298" spans="1:6" x14ac:dyDescent="0.2">
      <c r="A298" s="90"/>
      <c r="B298" s="70" t="s">
        <v>542</v>
      </c>
      <c r="C298" s="70" t="s">
        <v>410</v>
      </c>
      <c r="D298" s="70" t="s">
        <v>494</v>
      </c>
      <c r="E298" s="70" t="s">
        <v>464</v>
      </c>
      <c r="F298" s="90"/>
    </row>
    <row r="299" spans="1:6" x14ac:dyDescent="0.2">
      <c r="A299" s="90"/>
      <c r="B299" s="70" t="s">
        <v>543</v>
      </c>
      <c r="C299" s="70" t="s">
        <v>411</v>
      </c>
      <c r="D299" s="70" t="s">
        <v>495</v>
      </c>
      <c r="E299" s="70" t="s">
        <v>465</v>
      </c>
      <c r="F299" s="90"/>
    </row>
    <row r="300" spans="1:6" x14ac:dyDescent="0.2">
      <c r="A300" s="90"/>
      <c r="B300" s="70" t="s">
        <v>544</v>
      </c>
      <c r="C300" s="70" t="s">
        <v>15</v>
      </c>
      <c r="D300" s="70" t="s">
        <v>142</v>
      </c>
      <c r="E300" s="70" t="s">
        <v>153</v>
      </c>
      <c r="F300" s="90"/>
    </row>
    <row r="301" spans="1:6" x14ac:dyDescent="0.2">
      <c r="A301" s="90"/>
      <c r="B301" s="70" t="s">
        <v>545</v>
      </c>
      <c r="C301" s="70" t="s">
        <v>412</v>
      </c>
      <c r="D301" s="70" t="s">
        <v>466</v>
      </c>
      <c r="E301" s="70" t="s">
        <v>466</v>
      </c>
      <c r="F301" s="90"/>
    </row>
    <row r="302" spans="1:6" x14ac:dyDescent="0.2">
      <c r="A302" s="90"/>
      <c r="B302" s="70" t="s">
        <v>546</v>
      </c>
      <c r="C302" s="70" t="s">
        <v>413</v>
      </c>
      <c r="D302" s="70" t="s">
        <v>413</v>
      </c>
      <c r="E302" s="70" t="s">
        <v>413</v>
      </c>
      <c r="F302" s="90"/>
    </row>
    <row r="303" spans="1:6" x14ac:dyDescent="0.2">
      <c r="A303" s="90"/>
      <c r="B303" s="70" t="s">
        <v>547</v>
      </c>
      <c r="C303" s="70" t="s">
        <v>19</v>
      </c>
      <c r="D303" s="70" t="s">
        <v>141</v>
      </c>
      <c r="E303" s="70" t="s">
        <v>141</v>
      </c>
      <c r="F303" s="90"/>
    </row>
    <row r="304" spans="1:6" x14ac:dyDescent="0.2">
      <c r="A304" s="90"/>
      <c r="B304" s="70" t="s">
        <v>548</v>
      </c>
      <c r="C304" s="70" t="s">
        <v>414</v>
      </c>
      <c r="D304" s="70" t="s">
        <v>496</v>
      </c>
      <c r="E304" s="70" t="s">
        <v>467</v>
      </c>
      <c r="F304" s="90"/>
    </row>
    <row r="305" spans="1:6" x14ac:dyDescent="0.2">
      <c r="A305" s="90"/>
      <c r="B305" s="70" t="s">
        <v>550</v>
      </c>
      <c r="C305" s="70" t="s">
        <v>21</v>
      </c>
      <c r="D305" s="70" t="s">
        <v>146</v>
      </c>
      <c r="E305" s="70" t="s">
        <v>157</v>
      </c>
      <c r="F305" s="90"/>
    </row>
    <row r="306" spans="1:6" x14ac:dyDescent="0.2">
      <c r="A306" s="90"/>
      <c r="B306" s="70" t="s">
        <v>549</v>
      </c>
      <c r="C306" s="70" t="s">
        <v>415</v>
      </c>
      <c r="D306" s="70" t="s">
        <v>415</v>
      </c>
      <c r="E306" s="70" t="s">
        <v>468</v>
      </c>
      <c r="F306" s="90"/>
    </row>
    <row r="307" spans="1:6" x14ac:dyDescent="0.2">
      <c r="A307" s="90"/>
      <c r="B307" s="70" t="s">
        <v>551</v>
      </c>
      <c r="C307" s="70" t="s">
        <v>416</v>
      </c>
      <c r="D307" s="70" t="s">
        <v>497</v>
      </c>
      <c r="E307" s="70" t="s">
        <v>469</v>
      </c>
      <c r="F307" s="90"/>
    </row>
    <row r="308" spans="1:6" x14ac:dyDescent="0.2">
      <c r="A308" s="90"/>
      <c r="B308" s="70" t="s">
        <v>552</v>
      </c>
      <c r="C308" s="70" t="s">
        <v>417</v>
      </c>
      <c r="D308" s="70" t="s">
        <v>470</v>
      </c>
      <c r="E308" s="70" t="s">
        <v>470</v>
      </c>
      <c r="F308" s="90"/>
    </row>
    <row r="309" spans="1:6" x14ac:dyDescent="0.2">
      <c r="A309" s="90"/>
      <c r="B309" s="70" t="s">
        <v>553</v>
      </c>
      <c r="C309" s="70" t="s">
        <v>418</v>
      </c>
      <c r="D309" s="70" t="s">
        <v>471</v>
      </c>
      <c r="E309" s="70" t="s">
        <v>471</v>
      </c>
      <c r="F309" s="90"/>
    </row>
    <row r="310" spans="1:6" x14ac:dyDescent="0.2">
      <c r="A310" s="90"/>
      <c r="B310" s="70" t="s">
        <v>554</v>
      </c>
      <c r="C310" s="70" t="s">
        <v>352</v>
      </c>
      <c r="D310" s="70" t="s">
        <v>358</v>
      </c>
      <c r="E310" s="70" t="s">
        <v>358</v>
      </c>
      <c r="F310" s="90"/>
    </row>
    <row r="311" spans="1:6" x14ac:dyDescent="0.2">
      <c r="A311" s="90"/>
      <c r="B311" s="70" t="s">
        <v>555</v>
      </c>
      <c r="C311" s="70" t="s">
        <v>13</v>
      </c>
      <c r="D311" s="70" t="s">
        <v>137</v>
      </c>
      <c r="E311" s="70" t="s">
        <v>151</v>
      </c>
      <c r="F311" s="90"/>
    </row>
    <row r="312" spans="1:6" x14ac:dyDescent="0.2">
      <c r="A312" s="90"/>
      <c r="B312" s="70" t="s">
        <v>556</v>
      </c>
      <c r="C312" s="70" t="s">
        <v>419</v>
      </c>
      <c r="D312" s="70" t="s">
        <v>472</v>
      </c>
      <c r="E312" s="70" t="s">
        <v>472</v>
      </c>
      <c r="F312" s="90"/>
    </row>
    <row r="313" spans="1:6" x14ac:dyDescent="0.2">
      <c r="A313" s="90"/>
      <c r="B313" s="70" t="s">
        <v>557</v>
      </c>
      <c r="C313" s="70" t="s">
        <v>420</v>
      </c>
      <c r="D313" s="70" t="s">
        <v>420</v>
      </c>
      <c r="E313" s="70" t="s">
        <v>473</v>
      </c>
      <c r="F313" s="90"/>
    </row>
    <row r="314" spans="1:6" x14ac:dyDescent="0.2">
      <c r="A314" s="90"/>
      <c r="B314" s="70" t="s">
        <v>558</v>
      </c>
      <c r="C314" s="70" t="s">
        <v>421</v>
      </c>
      <c r="D314" s="70" t="s">
        <v>498</v>
      </c>
      <c r="E314" s="70" t="s">
        <v>474</v>
      </c>
      <c r="F314" s="90"/>
    </row>
    <row r="315" spans="1:6" x14ac:dyDescent="0.2">
      <c r="A315" s="90"/>
      <c r="B315" s="70" t="s">
        <v>559</v>
      </c>
      <c r="C315" s="70" t="s">
        <v>422</v>
      </c>
      <c r="D315" s="70" t="s">
        <v>475</v>
      </c>
      <c r="E315" s="70" t="s">
        <v>475</v>
      </c>
      <c r="F315" s="90"/>
    </row>
    <row r="316" spans="1:6" x14ac:dyDescent="0.2">
      <c r="A316" s="90"/>
      <c r="B316" s="70" t="s">
        <v>560</v>
      </c>
      <c r="C316" s="70" t="s">
        <v>354</v>
      </c>
      <c r="D316" s="70" t="s">
        <v>360</v>
      </c>
      <c r="E316" s="70" t="s">
        <v>360</v>
      </c>
      <c r="F316" s="90"/>
    </row>
    <row r="317" spans="1:6" x14ac:dyDescent="0.2">
      <c r="A317" s="90"/>
      <c r="B317" s="70" t="s">
        <v>561</v>
      </c>
      <c r="C317" s="70" t="s">
        <v>423</v>
      </c>
      <c r="D317" s="70" t="s">
        <v>499</v>
      </c>
      <c r="E317" s="70" t="s">
        <v>476</v>
      </c>
      <c r="F317" s="90"/>
    </row>
    <row r="318" spans="1:6" x14ac:dyDescent="0.2">
      <c r="A318" s="90"/>
      <c r="B318" s="70" t="s">
        <v>562</v>
      </c>
      <c r="C318" s="70" t="s">
        <v>585</v>
      </c>
      <c r="D318" s="70" t="s">
        <v>585</v>
      </c>
      <c r="E318" s="70" t="s">
        <v>585</v>
      </c>
      <c r="F318" s="90"/>
    </row>
    <row r="319" spans="1:6" x14ac:dyDescent="0.2">
      <c r="A319" s="90"/>
      <c r="B319" s="70" t="s">
        <v>563</v>
      </c>
      <c r="C319" s="70" t="s">
        <v>424</v>
      </c>
      <c r="D319" s="70" t="s">
        <v>500</v>
      </c>
      <c r="E319" s="70" t="s">
        <v>477</v>
      </c>
      <c r="F319" s="90"/>
    </row>
    <row r="320" spans="1:6" x14ac:dyDescent="0.2">
      <c r="A320" s="90"/>
      <c r="B320" s="70" t="s">
        <v>564</v>
      </c>
      <c r="C320" s="70" t="s">
        <v>351</v>
      </c>
      <c r="D320" s="70" t="s">
        <v>357</v>
      </c>
      <c r="E320" s="70" t="s">
        <v>362</v>
      </c>
      <c r="F320" s="90"/>
    </row>
    <row r="321" spans="1:6" x14ac:dyDescent="0.2">
      <c r="A321" s="90"/>
      <c r="B321" s="70" t="s">
        <v>565</v>
      </c>
      <c r="C321" s="70" t="s">
        <v>425</v>
      </c>
      <c r="D321" s="70" t="s">
        <v>501</v>
      </c>
      <c r="E321" s="70" t="s">
        <v>478</v>
      </c>
      <c r="F321" s="90"/>
    </row>
    <row r="322" spans="1:6" x14ac:dyDescent="0.2">
      <c r="A322" s="90"/>
      <c r="B322" s="70" t="s">
        <v>566</v>
      </c>
      <c r="C322" s="70" t="s">
        <v>426</v>
      </c>
      <c r="D322" s="70" t="s">
        <v>502</v>
      </c>
      <c r="E322" s="70" t="s">
        <v>479</v>
      </c>
      <c r="F322" s="90"/>
    </row>
    <row r="323" spans="1:6" x14ac:dyDescent="0.2">
      <c r="A323" s="90"/>
      <c r="B323" s="70" t="s">
        <v>567</v>
      </c>
      <c r="C323" s="70" t="s">
        <v>427</v>
      </c>
      <c r="D323" s="70" t="s">
        <v>503</v>
      </c>
      <c r="E323" s="70" t="s">
        <v>480</v>
      </c>
      <c r="F323" s="90"/>
    </row>
    <row r="324" spans="1:6" x14ac:dyDescent="0.2">
      <c r="A324" s="90"/>
      <c r="B324" s="70" t="s">
        <v>568</v>
      </c>
      <c r="C324" s="70" t="s">
        <v>428</v>
      </c>
      <c r="D324" s="70" t="s">
        <v>504</v>
      </c>
      <c r="E324" s="70" t="s">
        <v>481</v>
      </c>
      <c r="F324" s="90"/>
    </row>
    <row r="325" spans="1:6" x14ac:dyDescent="0.2">
      <c r="A325" s="90"/>
      <c r="B325" s="70" t="s">
        <v>569</v>
      </c>
      <c r="C325" s="70" t="s">
        <v>429</v>
      </c>
      <c r="D325" s="70" t="s">
        <v>505</v>
      </c>
      <c r="E325" s="70" t="s">
        <v>482</v>
      </c>
      <c r="F325" s="90"/>
    </row>
    <row r="326" spans="1:6" x14ac:dyDescent="0.2">
      <c r="A326" s="90"/>
      <c r="B326" s="70" t="s">
        <v>570</v>
      </c>
      <c r="C326" s="70" t="s">
        <v>430</v>
      </c>
      <c r="D326" s="70" t="s">
        <v>506</v>
      </c>
      <c r="E326" s="70" t="s">
        <v>483</v>
      </c>
      <c r="F326" s="90"/>
    </row>
    <row r="327" spans="1:6" x14ac:dyDescent="0.2">
      <c r="A327" s="90"/>
      <c r="B327" s="70" t="s">
        <v>571</v>
      </c>
      <c r="C327" s="70" t="s">
        <v>431</v>
      </c>
      <c r="D327" s="70" t="s">
        <v>507</v>
      </c>
      <c r="E327" s="70" t="s">
        <v>484</v>
      </c>
      <c r="F327" s="90"/>
    </row>
    <row r="328" spans="1:6" x14ac:dyDescent="0.2">
      <c r="A328" s="90"/>
      <c r="B328" s="70" t="s">
        <v>572</v>
      </c>
      <c r="C328" s="70" t="s">
        <v>432</v>
      </c>
      <c r="D328" s="70" t="s">
        <v>508</v>
      </c>
      <c r="E328" s="70" t="s">
        <v>485</v>
      </c>
      <c r="F328" s="90"/>
    </row>
    <row r="329" spans="1:6" x14ac:dyDescent="0.2">
      <c r="A329" s="90"/>
      <c r="B329" s="70" t="s">
        <v>573</v>
      </c>
      <c r="C329" s="70" t="s">
        <v>433</v>
      </c>
      <c r="D329" s="70" t="s">
        <v>486</v>
      </c>
      <c r="E329" s="70" t="s">
        <v>486</v>
      </c>
      <c r="F329" s="90"/>
    </row>
    <row r="330" spans="1:6" x14ac:dyDescent="0.2">
      <c r="A330" s="90"/>
      <c r="B330" s="70" t="s">
        <v>574</v>
      </c>
      <c r="C330" s="70" t="s">
        <v>434</v>
      </c>
      <c r="D330" s="70" t="s">
        <v>509</v>
      </c>
      <c r="E330" s="70" t="s">
        <v>487</v>
      </c>
      <c r="F330" s="90"/>
    </row>
    <row r="331" spans="1:6" x14ac:dyDescent="0.2">
      <c r="A331" s="90"/>
      <c r="B331" s="70" t="s">
        <v>575</v>
      </c>
      <c r="C331" s="70" t="s">
        <v>355</v>
      </c>
      <c r="D331" s="70" t="s">
        <v>361</v>
      </c>
      <c r="E331" s="70" t="s">
        <v>365</v>
      </c>
      <c r="F331" s="90"/>
    </row>
    <row r="332" spans="1:6" x14ac:dyDescent="0.2">
      <c r="A332" s="90"/>
      <c r="B332" s="70" t="s">
        <v>576</v>
      </c>
      <c r="C332" s="70" t="s">
        <v>40</v>
      </c>
      <c r="D332" s="70" t="s">
        <v>145</v>
      </c>
      <c r="E332" s="70" t="s">
        <v>156</v>
      </c>
      <c r="F332" s="90"/>
    </row>
    <row r="333" spans="1:6" x14ac:dyDescent="0.2">
      <c r="A333" s="90"/>
      <c r="B333" s="70" t="s">
        <v>577</v>
      </c>
      <c r="C333" s="70" t="s">
        <v>23</v>
      </c>
      <c r="D333" s="70" t="s">
        <v>144</v>
      </c>
      <c r="E333" s="70" t="s">
        <v>155</v>
      </c>
      <c r="F333" s="90"/>
    </row>
    <row r="334" spans="1:6" x14ac:dyDescent="0.2">
      <c r="A334" s="90"/>
      <c r="B334" s="70" t="s">
        <v>578</v>
      </c>
      <c r="C334" s="70" t="s">
        <v>435</v>
      </c>
      <c r="D334" s="70" t="s">
        <v>510</v>
      </c>
      <c r="E334" s="70" t="s">
        <v>488</v>
      </c>
      <c r="F334" s="90"/>
    </row>
    <row r="335" spans="1:6" x14ac:dyDescent="0.2">
      <c r="A335" s="89"/>
      <c r="B335" s="90"/>
      <c r="C335" s="90"/>
      <c r="D335" s="90"/>
      <c r="E335" s="90"/>
      <c r="F335" s="90"/>
    </row>
    <row r="336" spans="1:6" ht="13.5" customHeight="1" x14ac:dyDescent="0.2">
      <c r="A336" s="90"/>
      <c r="B336" s="88" t="s">
        <v>580</v>
      </c>
      <c r="C336" s="94" t="s">
        <v>581</v>
      </c>
      <c r="D336" s="94" t="s">
        <v>582</v>
      </c>
      <c r="E336" s="94" t="s">
        <v>583</v>
      </c>
      <c r="F336" s="90"/>
    </row>
    <row r="337" spans="1:6" x14ac:dyDescent="0.2">
      <c r="A337" s="89"/>
      <c r="B337" s="90"/>
      <c r="C337" s="90"/>
      <c r="D337" s="90"/>
      <c r="E337" s="90"/>
      <c r="F337" s="9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2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1" t="str">
        <f>VLOOKUP("&lt;Fachbereich&gt;",Uebersetzungen!$B$4:$E$315,Uebersetzungen!$B$2+1,FALSE)</f>
        <v>Daten &amp; Statistik</v>
      </c>
      <c r="B7" s="131"/>
      <c r="C7" s="131"/>
      <c r="D7" s="131"/>
      <c r="E7" s="95"/>
      <c r="F7" s="1"/>
    </row>
    <row r="8" spans="1:10" ht="10.5" customHeight="1" x14ac:dyDescent="0.2"/>
    <row r="9" spans="1:10" ht="18" x14ac:dyDescent="0.25">
      <c r="A9" s="2" t="str">
        <f>VLOOKUP("&lt;T11Titel1&gt;",Uebersetzungen!$B$4:$E$315,Uebersetzungen!$B$2+1,FALSE)</f>
        <v>Hotel- und Kurbetriebe: Logiernächte im November 2026,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VLOOKUP("&lt;T11SpaltenTitel_1&gt;",Uebersetzungen!$B$4:$E$315,Uebersetzungen!$B$2+1,FALSE)</f>
        <v>November 2026</v>
      </c>
      <c r="D12" s="21" t="str">
        <f>VLOOKUP("&lt;T11SpaltenTitel_2&gt;",Uebersetzungen!$B$4:$E$315,Uebersetzungen!$B$2+1,FALSE)</f>
        <v>November 2025</v>
      </c>
      <c r="E12" s="22" t="str">
        <f>VLOOKUP("&lt;SpaltenTitel_3&gt;",Uebersetzungen!$B$4:$E$315,Uebersetzungen!$B$2+1,FALSE)</f>
        <v>Veränderung 26/25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VLOOKUP("&lt;T11SpaltenTitel_5&gt;",Uebersetzungen!$B$4:$E$315,Uebersetzungen!$B$2+1,FALSE)</f>
        <v>Januar-November 26</v>
      </c>
      <c r="H12" s="22" t="str">
        <f>VLOOKUP("&lt;T11SpaltenTitel_6&gt;",Uebersetzungen!$B$4:$E$315,Uebersetzungen!$B$2+1,FALSE)</f>
        <v>Januar-November 25</v>
      </c>
      <c r="I12" s="22" t="str">
        <f>VLOOKUP("&lt;SpaltenTitel_7&gt;",Uebersetzungen!$B$4:$E$315,Uebersetzungen!$B$2+1,FALSE)</f>
        <v>Veränderung 26/25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/>
      <c r="D27" s="52"/>
      <c r="E27" s="53" t="e">
        <f t="shared" si="0"/>
        <v>#DIV/0!</v>
      </c>
      <c r="F27" s="72"/>
      <c r="G27" s="77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/>
      <c r="D29" s="55"/>
      <c r="E29" s="53" t="e">
        <f t="shared" si="0"/>
        <v>#DIV/0!</v>
      </c>
      <c r="F29" s="72"/>
      <c r="G29" s="77"/>
      <c r="H29" s="55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/>
      <c r="D30" s="57"/>
      <c r="E30" s="53" t="e">
        <f t="shared" si="0"/>
        <v>#DIV/0!</v>
      </c>
      <c r="F30" s="73"/>
      <c r="G30" s="78"/>
      <c r="H30" s="57"/>
      <c r="I30" s="53" t="e">
        <f t="shared" si="1"/>
        <v>#DIV/0!</v>
      </c>
      <c r="J30" s="58"/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/>
      <c r="D31" s="19"/>
      <c r="E31" s="12" t="e">
        <f t="shared" si="0"/>
        <v>#DIV/0!</v>
      </c>
      <c r="F31" s="74"/>
      <c r="G31" s="79"/>
      <c r="H31" s="19"/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VLOOKUP("&lt;T11Titel2&gt;",Uebersetzungen!$B$4:$E$315,Uebersetzungen!$B$2+1,FALSE)</f>
        <v>Hotel- und Kurbetriebe: Logiernächte im November 2026,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VLOOKUP("&lt;T11SpaltenTitel_1&gt;",Uebersetzungen!$B$4:$E$315,Uebersetzungen!$B$2+1,FALSE)</f>
        <v>November 2026</v>
      </c>
      <c r="D39" s="21" t="str">
        <f>VLOOKUP("&lt;T11SpaltenTitel_2&gt;",Uebersetzungen!$B$4:$E$315,Uebersetzungen!$B$2+1,FALSE)</f>
        <v>November 2025</v>
      </c>
      <c r="E39" s="22" t="str">
        <f>VLOOKUP("&lt;SpaltenTitel_3&gt;",Uebersetzungen!$B$4:$E$315,Uebersetzungen!$B$2+1,FALSE)</f>
        <v>Veränderung 26/25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VLOOKUP("&lt;T11SpaltenTitel_5&gt;",Uebersetzungen!$B$4:$E$315,Uebersetzungen!$B$2+1,FALSE)</f>
        <v>Januar-November 26</v>
      </c>
      <c r="H39" s="22" t="str">
        <f>VLOOKUP("&lt;T11SpaltenTitel_6&gt;",Uebersetzungen!$B$4:$E$315,Uebersetzungen!$B$2+1,FALSE)</f>
        <v>Januar-November 25</v>
      </c>
      <c r="I39" s="22" t="str">
        <f>VLOOKUP("&lt;SpaltenTitel_7&gt;",Uebersetzungen!$B$4:$E$315,Uebersetzungen!$B$2+1,FALSE)</f>
        <v>Veränderung 26/25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2">C41/D41-1</f>
        <v>#DIV/0!</v>
      </c>
      <c r="F41" s="80"/>
      <c r="G41" s="83"/>
      <c r="H41" s="17"/>
      <c r="I41" s="10" t="e">
        <f t="shared" ref="I41:I74" si="3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2"/>
        <v>#DIV/0!</v>
      </c>
      <c r="F42" s="80"/>
      <c r="G42" s="83"/>
      <c r="H42" s="17"/>
      <c r="I42" s="10" t="e">
        <f t="shared" si="3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2"/>
        <v>#DIV/0!</v>
      </c>
      <c r="F43" s="80"/>
      <c r="G43" s="83"/>
      <c r="H43" s="17"/>
      <c r="I43" s="10" t="e">
        <f t="shared" si="3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2"/>
        <v>#DIV/0!</v>
      </c>
      <c r="F44" s="80"/>
      <c r="G44" s="83"/>
      <c r="H44" s="17"/>
      <c r="I44" s="10" t="e">
        <f t="shared" si="3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2"/>
        <v>#DIV/0!</v>
      </c>
      <c r="F45" s="80"/>
      <c r="G45" s="83"/>
      <c r="H45" s="17"/>
      <c r="I45" s="10" t="e">
        <f t="shared" si="3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2"/>
        <v>#DIV/0!</v>
      </c>
      <c r="F46" s="80"/>
      <c r="G46" s="83"/>
      <c r="H46" s="17"/>
      <c r="I46" s="10" t="e">
        <f t="shared" si="3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2"/>
        <v>#DIV/0!</v>
      </c>
      <c r="F47" s="80"/>
      <c r="G47" s="83"/>
      <c r="H47" s="17"/>
      <c r="I47" s="10" t="e">
        <f t="shared" si="3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2"/>
        <v>#DIV/0!</v>
      </c>
      <c r="F48" s="80"/>
      <c r="G48" s="83"/>
      <c r="H48" s="17"/>
      <c r="I48" s="10" t="e">
        <f t="shared" si="3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2"/>
        <v>#DIV/0!</v>
      </c>
      <c r="F49" s="80"/>
      <c r="G49" s="83"/>
      <c r="H49" s="17"/>
      <c r="I49" s="10" t="e">
        <f t="shared" si="3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2"/>
        <v>#DIV/0!</v>
      </c>
      <c r="F50" s="80"/>
      <c r="G50" s="83"/>
      <c r="H50" s="17"/>
      <c r="I50" s="10" t="e">
        <f t="shared" si="3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2"/>
        <v>#DIV/0!</v>
      </c>
      <c r="F51" s="80"/>
      <c r="G51" s="83"/>
      <c r="H51" s="17"/>
      <c r="I51" s="10" t="e">
        <f t="shared" si="3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2"/>
        <v>#DIV/0!</v>
      </c>
      <c r="F52" s="80"/>
      <c r="G52" s="83"/>
      <c r="H52" s="17"/>
      <c r="I52" s="10" t="e">
        <f t="shared" si="3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2"/>
        <v>#DIV/0!</v>
      </c>
      <c r="F53" s="80"/>
      <c r="G53" s="83"/>
      <c r="H53" s="17"/>
      <c r="I53" s="10" t="e">
        <f t="shared" si="3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2"/>
        <v>#DIV/0!</v>
      </c>
      <c r="F54" s="80"/>
      <c r="G54" s="83"/>
      <c r="H54" s="17"/>
      <c r="I54" s="10" t="e">
        <f t="shared" si="3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2"/>
        <v>#DIV/0!</v>
      </c>
      <c r="F55" s="80"/>
      <c r="G55" s="83"/>
      <c r="H55" s="17"/>
      <c r="I55" s="10" t="e">
        <f t="shared" si="3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2"/>
        <v>#DIV/0!</v>
      </c>
      <c r="F56" s="80"/>
      <c r="G56" s="83"/>
      <c r="H56" s="17"/>
      <c r="I56" s="10" t="e">
        <f t="shared" si="3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2"/>
        <v>#DIV/0!</v>
      </c>
      <c r="F57" s="80"/>
      <c r="G57" s="83"/>
      <c r="H57" s="17"/>
      <c r="I57" s="10" t="e">
        <f t="shared" si="3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2"/>
        <v>#DIV/0!</v>
      </c>
      <c r="F58" s="80"/>
      <c r="G58" s="83"/>
      <c r="H58" s="17"/>
      <c r="I58" s="10" t="e">
        <f t="shared" si="3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2"/>
        <v>#DIV/0!</v>
      </c>
      <c r="F59" s="80"/>
      <c r="G59" s="83"/>
      <c r="H59" s="17"/>
      <c r="I59" s="10" t="e">
        <f t="shared" si="3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2"/>
        <v>#DIV/0!</v>
      </c>
      <c r="F60" s="80"/>
      <c r="G60" s="83"/>
      <c r="H60" s="17"/>
      <c r="I60" s="10" t="e">
        <f t="shared" si="3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2"/>
        <v>#DIV/0!</v>
      </c>
      <c r="F61" s="80"/>
      <c r="G61" s="83"/>
      <c r="H61" s="17"/>
      <c r="I61" s="10" t="e">
        <f t="shared" si="3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2"/>
        <v>#DIV/0!</v>
      </c>
      <c r="F62" s="80"/>
      <c r="G62" s="83"/>
      <c r="H62" s="17"/>
      <c r="I62" s="10" t="e">
        <f t="shared" si="3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2"/>
        <v>#DIV/0!</v>
      </c>
      <c r="F63" s="80"/>
      <c r="G63" s="83"/>
      <c r="H63" s="17"/>
      <c r="I63" s="10" t="e">
        <f t="shared" si="3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2"/>
        <v>#DIV/0!</v>
      </c>
      <c r="F66" s="80"/>
      <c r="G66" s="83"/>
      <c r="H66" s="17"/>
      <c r="I66" s="10" t="e">
        <f t="shared" si="3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2"/>
        <v>#DIV/0!</v>
      </c>
      <c r="F67" s="80"/>
      <c r="G67" s="83"/>
      <c r="H67" s="17"/>
      <c r="I67" s="10" t="e">
        <f t="shared" si="3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2"/>
        <v>#DIV/0!</v>
      </c>
      <c r="F68" s="80"/>
      <c r="G68" s="83"/>
      <c r="H68" s="17"/>
      <c r="I68" s="10" t="e">
        <f t="shared" si="3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2"/>
        <v>#DIV/0!</v>
      </c>
      <c r="F69" s="80"/>
      <c r="G69" s="83"/>
      <c r="H69" s="17"/>
      <c r="I69" s="10" t="e">
        <f t="shared" si="3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2"/>
        <v>#DIV/0!</v>
      </c>
      <c r="F70" s="80"/>
      <c r="G70" s="83"/>
      <c r="H70" s="17"/>
      <c r="I70" s="10" t="e">
        <f t="shared" si="3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2"/>
        <v>#DIV/0!</v>
      </c>
      <c r="F71" s="80"/>
      <c r="G71" s="83"/>
      <c r="H71" s="17"/>
      <c r="I71" s="10" t="e">
        <f t="shared" si="3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2"/>
        <v>#DIV/0!</v>
      </c>
      <c r="F72" s="80"/>
      <c r="G72" s="83"/>
      <c r="H72" s="17"/>
      <c r="I72" s="10" t="e">
        <f t="shared" si="3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2"/>
        <v>#DIV/0!</v>
      </c>
      <c r="F73" s="81"/>
      <c r="G73" s="84"/>
      <c r="H73" s="18"/>
      <c r="I73" s="11" t="e">
        <f t="shared" si="3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2"/>
        <v>#DIV/0!</v>
      </c>
      <c r="F74" s="82">
        <f>F31</f>
        <v>0</v>
      </c>
      <c r="G74" s="79"/>
      <c r="H74" s="40"/>
      <c r="I74" s="65" t="e">
        <f t="shared" si="3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VLOOKUP("&lt;T11Titel3&gt;",Uebersetzungen!$B$4:$E$315,Uebersetzungen!$B$2+1,FALSE)</f>
        <v>Hotel- und Kurbetriebe: Logiernächte im November 2026,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VLOOKUP("&lt;T11SpaltenTitel_1&gt;",Uebersetzungen!$B$4:$E$315,Uebersetzungen!$B$2+1,FALSE)</f>
        <v>November 2026</v>
      </c>
      <c r="D82" s="21" t="str">
        <f>VLOOKUP("&lt;T11SpaltenTitel_2&gt;",Uebersetzungen!$B$4:$E$315,Uebersetzungen!$B$2+1,FALSE)</f>
        <v>November 2025</v>
      </c>
      <c r="E82" s="22" t="str">
        <f>VLOOKUP("&lt;SpaltenTitel_3&gt;",Uebersetzungen!$B$4:$E$315,Uebersetzungen!$B$2+1,FALSE)</f>
        <v>Veränderung 26/25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VLOOKUP("&lt;T11SpaltenTitel_5&gt;",Uebersetzungen!$B$4:$E$315,Uebersetzungen!$B$2+1,FALSE)</f>
        <v>Januar-November 26</v>
      </c>
      <c r="H82" s="22" t="str">
        <f>VLOOKUP("&lt;T11SpaltenTitel_6&gt;",Uebersetzungen!$B$4:$E$315,Uebersetzungen!$B$2+1,FALSE)</f>
        <v>Januar-November 25</v>
      </c>
      <c r="I82" s="22" t="str">
        <f>VLOOKUP("&lt;SpaltenTitel_7&gt;",Uebersetzungen!$B$4:$E$315,Uebersetzungen!$B$2+1,FALSE)</f>
        <v>Veränderung 26/25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4">C84/D84-1</f>
        <v>#DIV/0!</v>
      </c>
      <c r="F84" s="80"/>
      <c r="G84" s="83"/>
      <c r="H84" s="17"/>
      <c r="I84" s="10" t="e">
        <f t="shared" ref="I84:I96" si="5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4"/>
        <v>#DIV/0!</v>
      </c>
      <c r="F85" s="80"/>
      <c r="G85" s="83"/>
      <c r="H85" s="17"/>
      <c r="I85" s="10" t="e">
        <f t="shared" si="5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4"/>
        <v>#DIV/0!</v>
      </c>
      <c r="F86" s="80"/>
      <c r="G86" s="83"/>
      <c r="H86" s="17"/>
      <c r="I86" s="10" t="e">
        <f t="shared" si="5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4"/>
        <v>#DIV/0!</v>
      </c>
      <c r="F87" s="80"/>
      <c r="G87" s="83"/>
      <c r="H87" s="17"/>
      <c r="I87" s="10" t="e">
        <f t="shared" si="5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4"/>
        <v>#DIV/0!</v>
      </c>
      <c r="F88" s="85"/>
      <c r="G88" s="87"/>
      <c r="H88" s="62"/>
      <c r="I88" s="63" t="e">
        <f t="shared" si="5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4"/>
        <v>#DIV/0!</v>
      </c>
      <c r="F89" s="80"/>
      <c r="G89" s="83"/>
      <c r="H89" s="17"/>
      <c r="I89" s="10" t="e">
        <f t="shared" si="5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4"/>
        <v>#DIV/0!</v>
      </c>
      <c r="F90" s="80"/>
      <c r="G90" s="83"/>
      <c r="H90" s="17"/>
      <c r="I90" s="10" t="e">
        <f t="shared" si="5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4"/>
        <v>#DIV/0!</v>
      </c>
      <c r="F91" s="80"/>
      <c r="G91" s="83"/>
      <c r="H91" s="17"/>
      <c r="I91" s="10" t="e">
        <f t="shared" si="5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4"/>
        <v>#DIV/0!</v>
      </c>
      <c r="F92" s="80"/>
      <c r="G92" s="83"/>
      <c r="H92" s="17"/>
      <c r="I92" s="10" t="e">
        <f t="shared" si="5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4"/>
        <v>#DIV/0!</v>
      </c>
      <c r="F93" s="80"/>
      <c r="G93" s="83"/>
      <c r="H93" s="17"/>
      <c r="I93" s="10" t="e">
        <f t="shared" si="5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4"/>
        <v>#DIV/0!</v>
      </c>
      <c r="F94" s="80"/>
      <c r="G94" s="83"/>
      <c r="H94" s="17"/>
      <c r="I94" s="33" t="e">
        <f t="shared" si="5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4"/>
        <v>#DIV/0!</v>
      </c>
      <c r="F95" s="11"/>
      <c r="G95" s="84"/>
      <c r="H95" s="18"/>
      <c r="I95" s="43" t="e">
        <f t="shared" si="5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4"/>
        <v>#DIV/0!</v>
      </c>
      <c r="F96" s="86"/>
      <c r="G96" s="79"/>
      <c r="H96" s="40"/>
      <c r="I96" s="41" t="e">
        <f t="shared" si="5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VLOOKUP("&lt;T11Aktualisierung&gt;",Uebersetzungen!$B$4:$E$315,Uebersetzungen!$B$2+1,FALSE)</f>
        <v>Letztmals aktualisiert am: 22.02.2026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VLOOKUP("&lt;T11Legende_3&gt;",Uebersetzungen!$B$4:$E$315,Uebersetzungen!$B$2+1,FALSE)</f>
        <v>Daten des Dezember 2025 erscheinen am 20. Februar 2026.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100-000000000000}"/>
    <hyperlink ref="E76" location="Länder_Pajais_Paesi!A1" display="Länder / Pajais / Paese" xr:uid="{00000000-0004-0000-01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1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1" t="str">
        <f>VLOOKUP("&lt;Fachbereich&gt;",Uebersetzungen!$B$4:$E$315,Uebersetzungen!$B$2+1,FALSE)</f>
        <v>Daten &amp; Statistik</v>
      </c>
      <c r="B7" s="131"/>
      <c r="C7" s="131"/>
      <c r="D7" s="131"/>
      <c r="E7" s="95"/>
      <c r="F7" s="1"/>
    </row>
    <row r="8" spans="1:10" ht="10.5" customHeight="1" x14ac:dyDescent="0.2"/>
    <row r="9" spans="1:10" ht="18" x14ac:dyDescent="0.25">
      <c r="A9" s="2" t="str">
        <f>VLOOKUP("&lt;T10Titel1&gt;",Uebersetzungen!$B$4:$E$315,Uebersetzungen!$B$2+1,FALSE)</f>
        <v>Hotel- und Kurbetriebe: Logiernächte im Oktober 2026,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VLOOKUP("&lt;T10SpaltenTitel_1&gt;",Uebersetzungen!$B$4:$E$315,Uebersetzungen!$B$2+1,FALSE)</f>
        <v>Oktober 2026</v>
      </c>
      <c r="D12" s="21" t="str">
        <f>VLOOKUP("&lt;T10SpaltenTitel_2&gt;",Uebersetzungen!$B$4:$E$315,Uebersetzungen!$B$2+1,FALSE)</f>
        <v>Oktober 2025</v>
      </c>
      <c r="E12" s="22" t="str">
        <f>VLOOKUP("&lt;SpaltenTitel_3&gt;",Uebersetzungen!$B$4:$E$315,Uebersetzungen!$B$2+1,FALSE)</f>
        <v>Veränderung 26/25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VLOOKUP("&lt;T10SpaltenTitel_5&gt;",Uebersetzungen!$B$4:$E$315,Uebersetzungen!$B$2+1,FALSE)</f>
        <v>Januar-Oktober 26</v>
      </c>
      <c r="H12" s="22" t="str">
        <f>VLOOKUP("&lt;T10SpaltenTitel_6&gt;",Uebersetzungen!$B$4:$E$315,Uebersetzungen!$B$2+1,FALSE)</f>
        <v>Januar-Oktober 25</v>
      </c>
      <c r="I12" s="22" t="str">
        <f>VLOOKUP("&lt;SpaltenTitel_7&gt;",Uebersetzungen!$B$4:$E$315,Uebersetzungen!$B$2+1,FALSE)</f>
        <v>Veränderung 26/25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/>
      <c r="D27" s="52"/>
      <c r="E27" s="53" t="e">
        <f t="shared" si="0"/>
        <v>#DIV/0!</v>
      </c>
      <c r="F27" s="72"/>
      <c r="G27" s="77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/>
      <c r="D29" s="55"/>
      <c r="E29" s="53" t="e">
        <f t="shared" si="0"/>
        <v>#DIV/0!</v>
      </c>
      <c r="F29" s="72"/>
      <c r="G29" s="77"/>
      <c r="H29" s="55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/>
      <c r="D30" s="57"/>
      <c r="E30" s="53" t="e">
        <f t="shared" si="0"/>
        <v>#DIV/0!</v>
      </c>
      <c r="F30" s="73"/>
      <c r="G30" s="78"/>
      <c r="H30" s="57"/>
      <c r="I30" s="53" t="e">
        <f t="shared" si="1"/>
        <v>#DIV/0!</v>
      </c>
      <c r="J30" s="58" t="s">
        <v>42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/>
      <c r="D31" s="19"/>
      <c r="E31" s="12" t="e">
        <f t="shared" si="0"/>
        <v>#DIV/0!</v>
      </c>
      <c r="F31" s="74"/>
      <c r="G31" s="79"/>
      <c r="H31" s="19"/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VLOOKUP("&lt;T10Titel2&gt;",Uebersetzungen!$B$4:$E$315,Uebersetzungen!$B$2+1,FALSE)</f>
        <v>Hotel- und Kurbetriebe: Logiernächte im Oktober 2026,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VLOOKUP("&lt;T10SpaltenTitel_1&gt;",Uebersetzungen!$B$4:$E$315,Uebersetzungen!$B$2+1,FALSE)</f>
        <v>Oktober 2026</v>
      </c>
      <c r="D39" s="21" t="str">
        <f>VLOOKUP("&lt;T10SpaltenTitel_2&gt;",Uebersetzungen!$B$4:$E$315,Uebersetzungen!$B$2+1,FALSE)</f>
        <v>Oktober 2025</v>
      </c>
      <c r="E39" s="22" t="str">
        <f>VLOOKUP("&lt;SpaltenTitel_3&gt;",Uebersetzungen!$B$4:$E$315,Uebersetzungen!$B$2+1,FALSE)</f>
        <v>Veränderung 26/25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VLOOKUP("&lt;T10SpaltenTitel_5&gt;",Uebersetzungen!$B$4:$E$315,Uebersetzungen!$B$2+1,FALSE)</f>
        <v>Januar-Oktober 26</v>
      </c>
      <c r="H39" s="22" t="str">
        <f>VLOOKUP("&lt;T10SpaltenTitel_6&gt;",Uebersetzungen!$B$4:$E$315,Uebersetzungen!$B$2+1,FALSE)</f>
        <v>Januar-Oktober 25</v>
      </c>
      <c r="I39" s="22" t="str">
        <f>VLOOKUP("&lt;SpaltenTitel_7&gt;",Uebersetzungen!$B$4:$E$315,Uebersetzungen!$B$2+1,FALSE)</f>
        <v>Veränderung 26/25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2">C41/D41-1</f>
        <v>#DIV/0!</v>
      </c>
      <c r="F41" s="80"/>
      <c r="G41" s="83"/>
      <c r="H41" s="17"/>
      <c r="I41" s="10" t="e">
        <f t="shared" ref="I41:I74" si="3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2"/>
        <v>#DIV/0!</v>
      </c>
      <c r="F42" s="80"/>
      <c r="G42" s="83"/>
      <c r="H42" s="17"/>
      <c r="I42" s="10" t="e">
        <f t="shared" si="3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2"/>
        <v>#DIV/0!</v>
      </c>
      <c r="F43" s="80"/>
      <c r="G43" s="83"/>
      <c r="H43" s="17"/>
      <c r="I43" s="10" t="e">
        <f t="shared" si="3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2"/>
        <v>#DIV/0!</v>
      </c>
      <c r="F44" s="80"/>
      <c r="G44" s="83"/>
      <c r="H44" s="17"/>
      <c r="I44" s="10" t="e">
        <f t="shared" si="3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2"/>
        <v>#DIV/0!</v>
      </c>
      <c r="F45" s="80"/>
      <c r="G45" s="83"/>
      <c r="H45" s="17"/>
      <c r="I45" s="10" t="e">
        <f t="shared" si="3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2"/>
        <v>#DIV/0!</v>
      </c>
      <c r="F46" s="80"/>
      <c r="G46" s="83"/>
      <c r="H46" s="17"/>
      <c r="I46" s="10" t="e">
        <f t="shared" si="3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2"/>
        <v>#DIV/0!</v>
      </c>
      <c r="F47" s="80"/>
      <c r="G47" s="83"/>
      <c r="H47" s="17"/>
      <c r="I47" s="10" t="e">
        <f t="shared" si="3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2"/>
        <v>#DIV/0!</v>
      </c>
      <c r="F48" s="80"/>
      <c r="G48" s="83"/>
      <c r="H48" s="17"/>
      <c r="I48" s="10" t="e">
        <f t="shared" si="3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2"/>
        <v>#DIV/0!</v>
      </c>
      <c r="F49" s="80"/>
      <c r="G49" s="83"/>
      <c r="H49" s="17"/>
      <c r="I49" s="10" t="e">
        <f t="shared" si="3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2"/>
        <v>#DIV/0!</v>
      </c>
      <c r="F50" s="80"/>
      <c r="G50" s="83"/>
      <c r="H50" s="17"/>
      <c r="I50" s="10" t="e">
        <f t="shared" si="3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2"/>
        <v>#DIV/0!</v>
      </c>
      <c r="F51" s="80"/>
      <c r="G51" s="83"/>
      <c r="H51" s="17"/>
      <c r="I51" s="10" t="e">
        <f t="shared" si="3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2"/>
        <v>#DIV/0!</v>
      </c>
      <c r="F52" s="80"/>
      <c r="G52" s="83"/>
      <c r="H52" s="17"/>
      <c r="I52" s="10" t="e">
        <f t="shared" si="3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2"/>
        <v>#DIV/0!</v>
      </c>
      <c r="F53" s="80"/>
      <c r="G53" s="83"/>
      <c r="H53" s="17"/>
      <c r="I53" s="10" t="e">
        <f t="shared" si="3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2"/>
        <v>#DIV/0!</v>
      </c>
      <c r="F54" s="80"/>
      <c r="G54" s="83"/>
      <c r="H54" s="17"/>
      <c r="I54" s="10" t="e">
        <f t="shared" si="3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2"/>
        <v>#DIV/0!</v>
      </c>
      <c r="F55" s="80"/>
      <c r="G55" s="83"/>
      <c r="H55" s="17"/>
      <c r="I55" s="10" t="e">
        <f t="shared" si="3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2"/>
        <v>#DIV/0!</v>
      </c>
      <c r="F56" s="80"/>
      <c r="G56" s="83"/>
      <c r="H56" s="17"/>
      <c r="I56" s="10" t="e">
        <f t="shared" si="3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2"/>
        <v>#DIV/0!</v>
      </c>
      <c r="F57" s="80"/>
      <c r="G57" s="83"/>
      <c r="H57" s="17"/>
      <c r="I57" s="10" t="e">
        <f t="shared" si="3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2"/>
        <v>#DIV/0!</v>
      </c>
      <c r="F58" s="80"/>
      <c r="G58" s="83"/>
      <c r="H58" s="17"/>
      <c r="I58" s="10" t="e">
        <f t="shared" si="3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2"/>
        <v>#DIV/0!</v>
      </c>
      <c r="F59" s="80"/>
      <c r="G59" s="83"/>
      <c r="H59" s="17"/>
      <c r="I59" s="10" t="e">
        <f t="shared" si="3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2"/>
        <v>#DIV/0!</v>
      </c>
      <c r="F60" s="80"/>
      <c r="G60" s="83"/>
      <c r="H60" s="17"/>
      <c r="I60" s="10" t="e">
        <f t="shared" si="3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2"/>
        <v>#DIV/0!</v>
      </c>
      <c r="F61" s="80"/>
      <c r="G61" s="83"/>
      <c r="H61" s="17"/>
      <c r="I61" s="10" t="e">
        <f t="shared" si="3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2"/>
        <v>#DIV/0!</v>
      </c>
      <c r="F62" s="80"/>
      <c r="G62" s="83"/>
      <c r="H62" s="17"/>
      <c r="I62" s="10" t="e">
        <f t="shared" si="3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2"/>
        <v>#DIV/0!</v>
      </c>
      <c r="F63" s="80"/>
      <c r="G63" s="83"/>
      <c r="H63" s="17"/>
      <c r="I63" s="10" t="e">
        <f t="shared" si="3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2"/>
        <v>#DIV/0!</v>
      </c>
      <c r="F66" s="80"/>
      <c r="G66" s="83"/>
      <c r="H66" s="17"/>
      <c r="I66" s="10" t="e">
        <f t="shared" si="3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2"/>
        <v>#DIV/0!</v>
      </c>
      <c r="F67" s="80"/>
      <c r="G67" s="83"/>
      <c r="H67" s="17"/>
      <c r="I67" s="10" t="e">
        <f t="shared" si="3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2"/>
        <v>#DIV/0!</v>
      </c>
      <c r="F68" s="80"/>
      <c r="G68" s="83"/>
      <c r="H68" s="17"/>
      <c r="I68" s="10" t="e">
        <f t="shared" si="3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2"/>
        <v>#DIV/0!</v>
      </c>
      <c r="F69" s="80"/>
      <c r="G69" s="83"/>
      <c r="H69" s="17"/>
      <c r="I69" s="10" t="e">
        <f t="shared" si="3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2"/>
        <v>#DIV/0!</v>
      </c>
      <c r="F70" s="80"/>
      <c r="G70" s="83"/>
      <c r="H70" s="17"/>
      <c r="I70" s="10" t="e">
        <f t="shared" si="3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2"/>
        <v>#DIV/0!</v>
      </c>
      <c r="F71" s="80"/>
      <c r="G71" s="83"/>
      <c r="H71" s="17"/>
      <c r="I71" s="10" t="e">
        <f t="shared" si="3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2"/>
        <v>#DIV/0!</v>
      </c>
      <c r="F72" s="80"/>
      <c r="G72" s="83"/>
      <c r="H72" s="17"/>
      <c r="I72" s="10" t="e">
        <f t="shared" si="3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2"/>
        <v>#DIV/0!</v>
      </c>
      <c r="F73" s="81"/>
      <c r="G73" s="84"/>
      <c r="H73" s="18"/>
      <c r="I73" s="11" t="e">
        <f t="shared" si="3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2"/>
        <v>#DIV/0!</v>
      </c>
      <c r="F74" s="82">
        <f>F31</f>
        <v>0</v>
      </c>
      <c r="G74" s="79"/>
      <c r="H74" s="40"/>
      <c r="I74" s="65" t="e">
        <f t="shared" si="3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VLOOKUP("&lt;T10Titel3&gt;",Uebersetzungen!$B$4:$E$315,Uebersetzungen!$B$2+1,FALSE)</f>
        <v>Hotel- und Kurbetriebe: Logiernächte im Oktober 2026,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VLOOKUP("&lt;T10SpaltenTitel_1&gt;",Uebersetzungen!$B$4:$E$315,Uebersetzungen!$B$2+1,FALSE)</f>
        <v>Oktober 2026</v>
      </c>
      <c r="D82" s="21" t="str">
        <f>VLOOKUP("&lt;T10SpaltenTitel_2&gt;",Uebersetzungen!$B$4:$E$315,Uebersetzungen!$B$2+1,FALSE)</f>
        <v>Oktober 2025</v>
      </c>
      <c r="E82" s="22" t="str">
        <f>VLOOKUP("&lt;SpaltenTitel_3&gt;",Uebersetzungen!$B$4:$E$315,Uebersetzungen!$B$2+1,FALSE)</f>
        <v>Veränderung 26/25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VLOOKUP("&lt;T10SpaltenTitel_5&gt;",Uebersetzungen!$B$4:$E$315,Uebersetzungen!$B$2+1,FALSE)</f>
        <v>Januar-Oktober 26</v>
      </c>
      <c r="H82" s="22" t="str">
        <f>VLOOKUP("&lt;T10SpaltenTitel_6&gt;",Uebersetzungen!$B$4:$E$315,Uebersetzungen!$B$2+1,FALSE)</f>
        <v>Januar-Oktober 25</v>
      </c>
      <c r="I82" s="22" t="str">
        <f>VLOOKUP("&lt;SpaltenTitel_7&gt;",Uebersetzungen!$B$4:$E$315,Uebersetzungen!$B$2+1,FALSE)</f>
        <v>Veränderung 26/25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4">C84/D84-1</f>
        <v>#DIV/0!</v>
      </c>
      <c r="F84" s="80"/>
      <c r="G84" s="83"/>
      <c r="H84" s="17"/>
      <c r="I84" s="10" t="e">
        <f t="shared" ref="I84:I96" si="5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4"/>
        <v>#DIV/0!</v>
      </c>
      <c r="F85" s="80"/>
      <c r="G85" s="83"/>
      <c r="H85" s="17"/>
      <c r="I85" s="10" t="e">
        <f t="shared" si="5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4"/>
        <v>#DIV/0!</v>
      </c>
      <c r="F86" s="80"/>
      <c r="G86" s="83"/>
      <c r="H86" s="17"/>
      <c r="I86" s="10" t="e">
        <f t="shared" si="5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4"/>
        <v>#DIV/0!</v>
      </c>
      <c r="F87" s="80"/>
      <c r="G87" s="83"/>
      <c r="H87" s="17"/>
      <c r="I87" s="10" t="e">
        <f t="shared" si="5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4"/>
        <v>#DIV/0!</v>
      </c>
      <c r="F88" s="85"/>
      <c r="G88" s="87"/>
      <c r="H88" s="62"/>
      <c r="I88" s="63" t="e">
        <f t="shared" si="5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4"/>
        <v>#DIV/0!</v>
      </c>
      <c r="F89" s="80"/>
      <c r="G89" s="83"/>
      <c r="H89" s="17"/>
      <c r="I89" s="10" t="e">
        <f t="shared" si="5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4"/>
        <v>#DIV/0!</v>
      </c>
      <c r="F90" s="80"/>
      <c r="G90" s="83"/>
      <c r="H90" s="17"/>
      <c r="I90" s="10" t="e">
        <f t="shared" si="5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4"/>
        <v>#DIV/0!</v>
      </c>
      <c r="F91" s="80"/>
      <c r="G91" s="83"/>
      <c r="H91" s="17"/>
      <c r="I91" s="10" t="e">
        <f t="shared" si="5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4"/>
        <v>#DIV/0!</v>
      </c>
      <c r="F92" s="80"/>
      <c r="G92" s="83"/>
      <c r="H92" s="17"/>
      <c r="I92" s="10" t="e">
        <f t="shared" si="5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4"/>
        <v>#DIV/0!</v>
      </c>
      <c r="F93" s="80"/>
      <c r="G93" s="83"/>
      <c r="H93" s="17"/>
      <c r="I93" s="10" t="e">
        <f t="shared" si="5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4"/>
        <v>#DIV/0!</v>
      </c>
      <c r="F94" s="80"/>
      <c r="G94" s="83"/>
      <c r="H94" s="17"/>
      <c r="I94" s="33" t="e">
        <f t="shared" si="5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4"/>
        <v>#DIV/0!</v>
      </c>
      <c r="F95" s="11"/>
      <c r="G95" s="84"/>
      <c r="H95" s="18"/>
      <c r="I95" s="43" t="e">
        <f t="shared" si="5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4"/>
        <v>#DIV/0!</v>
      </c>
      <c r="F96" s="86"/>
      <c r="G96" s="79"/>
      <c r="H96" s="40"/>
      <c r="I96" s="41" t="e">
        <f t="shared" si="5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VLOOKUP("&lt;T10Aktualisierung&gt;",Uebersetzungen!$B$4:$E$315,Uebersetzungen!$B$2+1,FALSE)</f>
        <v>Letztmals aktualisiert am: 22.02.2026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VLOOKUP("&lt;T10Legende_3&gt;",Uebersetzungen!$B$4:$E$315,Uebersetzungen!$B$2+1,FALSE)</f>
        <v>Daten des November 2025 erscheinen am 16. Januar 2026.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200-000000000000}"/>
    <hyperlink ref="E76" location="Länder_Pajais_Paesi!A1" display="Länder / Pajais / Paese" xr:uid="{00000000-0004-0000-02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0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1" t="str">
        <f>VLOOKUP("&lt;Fachbereich&gt;",Uebersetzungen!$B$4:$E$315,Uebersetzungen!$B$2+1,FALSE)</f>
        <v>Daten &amp; Statistik</v>
      </c>
      <c r="B7" s="131"/>
      <c r="C7" s="131"/>
      <c r="D7" s="131"/>
      <c r="E7" s="95"/>
      <c r="F7" s="1"/>
    </row>
    <row r="8" spans="1:10" ht="10.5" customHeight="1" x14ac:dyDescent="0.2"/>
    <row r="9" spans="1:10" ht="18" x14ac:dyDescent="0.25">
      <c r="A9" s="2" t="str">
        <f>VLOOKUP("&lt;T9Titel1&gt;",Uebersetzungen!$B$4:$E$315,Uebersetzungen!$B$2+1,FALSE)</f>
        <v>Hotel- und Kurbetriebe: Logiernächte im September 2026,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VLOOKUP("&lt;T9SpaltenTitel_1&gt;",Uebersetzungen!$B$4:$E$315,Uebersetzungen!$B$2+1,FALSE)</f>
        <v>September 2026</v>
      </c>
      <c r="D12" s="21" t="str">
        <f>VLOOKUP("&lt;T9SpaltenTitel_2&gt;",Uebersetzungen!$B$4:$E$315,Uebersetzungen!$B$2+1,FALSE)</f>
        <v>September 2025</v>
      </c>
      <c r="E12" s="22" t="str">
        <f>VLOOKUP("&lt;SpaltenTitel_3&gt;",Uebersetzungen!$B$4:$E$315,Uebersetzungen!$B$2+1,FALSE)</f>
        <v>Veränderung 26/25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VLOOKUP("&lt;T9SpaltenTitel_5&gt;",Uebersetzungen!$B$4:$E$315,Uebersetzungen!$B$2+1,FALSE)</f>
        <v>Januar-September 26</v>
      </c>
      <c r="H12" s="22" t="str">
        <f>VLOOKUP("&lt;T9SpaltenTitel_6&gt;",Uebersetzungen!$B$4:$E$315,Uebersetzungen!$B$2+1,FALSE)</f>
        <v>Januar-September 25</v>
      </c>
      <c r="I12" s="22" t="str">
        <f>VLOOKUP("&lt;SpaltenTitel_7&gt;",Uebersetzungen!$B$4:$E$315,Uebersetzungen!$B$2+1,FALSE)</f>
        <v>Veränderung 26/25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/>
      <c r="D27" s="52"/>
      <c r="E27" s="53" t="e">
        <f t="shared" si="0"/>
        <v>#DIV/0!</v>
      </c>
      <c r="F27" s="72"/>
      <c r="G27" s="77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/>
      <c r="D29" s="55"/>
      <c r="E29" s="53" t="e">
        <f t="shared" si="0"/>
        <v>#DIV/0!</v>
      </c>
      <c r="F29" s="72"/>
      <c r="G29" s="77"/>
      <c r="H29" s="55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/>
      <c r="D30" s="57"/>
      <c r="E30" s="53" t="e">
        <f t="shared" si="0"/>
        <v>#DIV/0!</v>
      </c>
      <c r="F30" s="73"/>
      <c r="G30" s="78"/>
      <c r="H30" s="57"/>
      <c r="I30" s="53" t="e">
        <f t="shared" si="1"/>
        <v>#DIV/0!</v>
      </c>
      <c r="J30" s="58"/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/>
      <c r="D31" s="19"/>
      <c r="E31" s="12" t="e">
        <f t="shared" si="0"/>
        <v>#DIV/0!</v>
      </c>
      <c r="F31" s="74"/>
      <c r="G31" s="79"/>
      <c r="H31" s="19"/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VLOOKUP("&lt;T9Titel2&gt;",Uebersetzungen!$B$4:$E$315,Uebersetzungen!$B$2+1,FALSE)</f>
        <v>Hotel- und Kurbetriebe: Logiernächte im September 2026,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VLOOKUP("&lt;T9SpaltenTitel_1&gt;",Uebersetzungen!$B$4:$E$315,Uebersetzungen!$B$2+1,FALSE)</f>
        <v>September 2026</v>
      </c>
      <c r="D39" s="21" t="str">
        <f>VLOOKUP("&lt;T9SpaltenTitel_2&gt;",Uebersetzungen!$B$4:$E$315,Uebersetzungen!$B$2+1,FALSE)</f>
        <v>September 2025</v>
      </c>
      <c r="E39" s="22" t="str">
        <f>VLOOKUP("&lt;SpaltenTitel_3&gt;",Uebersetzungen!$B$4:$E$315,Uebersetzungen!$B$2+1,FALSE)</f>
        <v>Veränderung 26/25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VLOOKUP("&lt;T9SpaltenTitel_5&gt;",Uebersetzungen!$B$4:$E$315,Uebersetzungen!$B$2+1,FALSE)</f>
        <v>Januar-September 26</v>
      </c>
      <c r="H39" s="22" t="str">
        <f>VLOOKUP("&lt;T9SpaltenTitel_6&gt;",Uebersetzungen!$B$4:$E$315,Uebersetzungen!$B$2+1,FALSE)</f>
        <v>Januar-September 25</v>
      </c>
      <c r="I39" s="22" t="str">
        <f>VLOOKUP("&lt;SpaltenTitel_7&gt;",Uebersetzungen!$B$4:$E$315,Uebersetzungen!$B$2+1,FALSE)</f>
        <v>Veränderung 26/25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2">C41/D41-1</f>
        <v>#DIV/0!</v>
      </c>
      <c r="F41" s="80"/>
      <c r="G41" s="83"/>
      <c r="H41" s="17"/>
      <c r="I41" s="10" t="e">
        <f t="shared" ref="I41:I74" si="3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2"/>
        <v>#DIV/0!</v>
      </c>
      <c r="F42" s="80"/>
      <c r="G42" s="83"/>
      <c r="H42" s="17"/>
      <c r="I42" s="10" t="e">
        <f t="shared" si="3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2"/>
        <v>#DIV/0!</v>
      </c>
      <c r="F43" s="80"/>
      <c r="G43" s="83"/>
      <c r="H43" s="17"/>
      <c r="I43" s="10" t="e">
        <f t="shared" si="3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2"/>
        <v>#DIV/0!</v>
      </c>
      <c r="F44" s="80"/>
      <c r="G44" s="83"/>
      <c r="H44" s="17"/>
      <c r="I44" s="10" t="e">
        <f t="shared" si="3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2"/>
        <v>#DIV/0!</v>
      </c>
      <c r="F45" s="80"/>
      <c r="G45" s="83"/>
      <c r="H45" s="17"/>
      <c r="I45" s="10" t="e">
        <f t="shared" si="3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2"/>
        <v>#DIV/0!</v>
      </c>
      <c r="F46" s="80"/>
      <c r="G46" s="83"/>
      <c r="H46" s="17"/>
      <c r="I46" s="10" t="e">
        <f t="shared" si="3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2"/>
        <v>#DIV/0!</v>
      </c>
      <c r="F47" s="80"/>
      <c r="G47" s="83"/>
      <c r="H47" s="17"/>
      <c r="I47" s="10" t="e">
        <f t="shared" si="3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2"/>
        <v>#DIV/0!</v>
      </c>
      <c r="F48" s="80"/>
      <c r="G48" s="83"/>
      <c r="H48" s="17"/>
      <c r="I48" s="10" t="e">
        <f t="shared" si="3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2"/>
        <v>#DIV/0!</v>
      </c>
      <c r="F49" s="80"/>
      <c r="G49" s="83"/>
      <c r="H49" s="17"/>
      <c r="I49" s="10" t="e">
        <f t="shared" si="3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2"/>
        <v>#DIV/0!</v>
      </c>
      <c r="F50" s="80"/>
      <c r="G50" s="83"/>
      <c r="H50" s="17"/>
      <c r="I50" s="10" t="e">
        <f t="shared" si="3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2"/>
        <v>#DIV/0!</v>
      </c>
      <c r="F51" s="80"/>
      <c r="G51" s="83"/>
      <c r="H51" s="17"/>
      <c r="I51" s="10" t="e">
        <f t="shared" si="3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2"/>
        <v>#DIV/0!</v>
      </c>
      <c r="F52" s="80"/>
      <c r="G52" s="83"/>
      <c r="H52" s="17"/>
      <c r="I52" s="10" t="e">
        <f t="shared" si="3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2"/>
        <v>#DIV/0!</v>
      </c>
      <c r="F53" s="80"/>
      <c r="G53" s="83"/>
      <c r="H53" s="17"/>
      <c r="I53" s="10" t="e">
        <f t="shared" si="3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2"/>
        <v>#DIV/0!</v>
      </c>
      <c r="F54" s="80"/>
      <c r="G54" s="83"/>
      <c r="H54" s="17"/>
      <c r="I54" s="10" t="e">
        <f t="shared" si="3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2"/>
        <v>#DIV/0!</v>
      </c>
      <c r="F55" s="80"/>
      <c r="G55" s="83"/>
      <c r="H55" s="17"/>
      <c r="I55" s="10" t="e">
        <f t="shared" si="3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2"/>
        <v>#DIV/0!</v>
      </c>
      <c r="F56" s="80"/>
      <c r="G56" s="83"/>
      <c r="H56" s="17"/>
      <c r="I56" s="10" t="e">
        <f t="shared" si="3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2"/>
        <v>#DIV/0!</v>
      </c>
      <c r="F57" s="80"/>
      <c r="G57" s="83"/>
      <c r="H57" s="17"/>
      <c r="I57" s="10" t="e">
        <f t="shared" si="3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2"/>
        <v>#DIV/0!</v>
      </c>
      <c r="F58" s="80"/>
      <c r="G58" s="83"/>
      <c r="H58" s="17"/>
      <c r="I58" s="10" t="e">
        <f t="shared" si="3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2"/>
        <v>#DIV/0!</v>
      </c>
      <c r="F59" s="80"/>
      <c r="G59" s="83"/>
      <c r="H59" s="17"/>
      <c r="I59" s="10" t="e">
        <f t="shared" si="3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2"/>
        <v>#DIV/0!</v>
      </c>
      <c r="F60" s="80"/>
      <c r="G60" s="83"/>
      <c r="H60" s="17"/>
      <c r="I60" s="10" t="e">
        <f t="shared" si="3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2"/>
        <v>#DIV/0!</v>
      </c>
      <c r="F61" s="80"/>
      <c r="G61" s="83"/>
      <c r="H61" s="17"/>
      <c r="I61" s="10" t="e">
        <f t="shared" si="3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2"/>
        <v>#DIV/0!</v>
      </c>
      <c r="F62" s="80"/>
      <c r="G62" s="83"/>
      <c r="H62" s="17"/>
      <c r="I62" s="10" t="e">
        <f t="shared" si="3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2"/>
        <v>#DIV/0!</v>
      </c>
      <c r="F63" s="80"/>
      <c r="G63" s="83"/>
      <c r="H63" s="17"/>
      <c r="I63" s="10" t="e">
        <f t="shared" si="3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2"/>
        <v>#DIV/0!</v>
      </c>
      <c r="F66" s="80"/>
      <c r="G66" s="83"/>
      <c r="H66" s="17"/>
      <c r="I66" s="10" t="e">
        <f t="shared" si="3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2"/>
        <v>#DIV/0!</v>
      </c>
      <c r="F67" s="80"/>
      <c r="G67" s="83"/>
      <c r="H67" s="17"/>
      <c r="I67" s="10" t="e">
        <f t="shared" si="3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2"/>
        <v>#DIV/0!</v>
      </c>
      <c r="F68" s="80"/>
      <c r="G68" s="83"/>
      <c r="H68" s="17"/>
      <c r="I68" s="10" t="e">
        <f t="shared" si="3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2"/>
        <v>#DIV/0!</v>
      </c>
      <c r="F69" s="80"/>
      <c r="G69" s="83"/>
      <c r="H69" s="17"/>
      <c r="I69" s="10" t="e">
        <f t="shared" si="3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2"/>
        <v>#DIV/0!</v>
      </c>
      <c r="F70" s="80"/>
      <c r="G70" s="83"/>
      <c r="H70" s="17"/>
      <c r="I70" s="10" t="e">
        <f t="shared" si="3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2"/>
        <v>#DIV/0!</v>
      </c>
      <c r="F71" s="80"/>
      <c r="G71" s="83"/>
      <c r="H71" s="17"/>
      <c r="I71" s="10" t="e">
        <f t="shared" si="3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2"/>
        <v>#DIV/0!</v>
      </c>
      <c r="F72" s="80"/>
      <c r="G72" s="83"/>
      <c r="H72" s="17"/>
      <c r="I72" s="10" t="e">
        <f t="shared" si="3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2"/>
        <v>#DIV/0!</v>
      </c>
      <c r="F73" s="81"/>
      <c r="G73" s="84"/>
      <c r="H73" s="18"/>
      <c r="I73" s="11" t="e">
        <f t="shared" si="3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2"/>
        <v>#DIV/0!</v>
      </c>
      <c r="F74" s="82">
        <f>F31</f>
        <v>0</v>
      </c>
      <c r="G74" s="79"/>
      <c r="H74" s="40"/>
      <c r="I74" s="65" t="e">
        <f t="shared" si="3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VLOOKUP("&lt;T9Titel3&gt;",Uebersetzungen!$B$4:$E$315,Uebersetzungen!$B$2+1,FALSE)</f>
        <v>Hotel- und Kurbetriebe: Logiernächte im September 2026,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VLOOKUP("&lt;T9SpaltenTitel_1&gt;",Uebersetzungen!$B$4:$E$315,Uebersetzungen!$B$2+1,FALSE)</f>
        <v>September 2026</v>
      </c>
      <c r="D82" s="21" t="str">
        <f>VLOOKUP("&lt;T9SpaltenTitel_2&gt;",Uebersetzungen!$B$4:$E$315,Uebersetzungen!$B$2+1,FALSE)</f>
        <v>September 2025</v>
      </c>
      <c r="E82" s="22" t="str">
        <f>VLOOKUP("&lt;SpaltenTitel_3&gt;",Uebersetzungen!$B$4:$E$315,Uebersetzungen!$B$2+1,FALSE)</f>
        <v>Veränderung 26/25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VLOOKUP("&lt;T9SpaltenTitel_5&gt;",Uebersetzungen!$B$4:$E$315,Uebersetzungen!$B$2+1,FALSE)</f>
        <v>Januar-September 26</v>
      </c>
      <c r="H82" s="22" t="str">
        <f>VLOOKUP("&lt;T9SpaltenTitel_6&gt;",Uebersetzungen!$B$4:$E$315,Uebersetzungen!$B$2+1,FALSE)</f>
        <v>Januar-September 25</v>
      </c>
      <c r="I82" s="22" t="str">
        <f>VLOOKUP("&lt;SpaltenTitel_7&gt;",Uebersetzungen!$B$4:$E$315,Uebersetzungen!$B$2+1,FALSE)</f>
        <v>Veränderung 26/25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4">C84/D84-1</f>
        <v>#DIV/0!</v>
      </c>
      <c r="F84" s="80"/>
      <c r="G84" s="83"/>
      <c r="H84" s="17"/>
      <c r="I84" s="10" t="e">
        <f t="shared" ref="I84:I96" si="5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4"/>
        <v>#DIV/0!</v>
      </c>
      <c r="F85" s="80"/>
      <c r="G85" s="83"/>
      <c r="H85" s="17"/>
      <c r="I85" s="10" t="e">
        <f t="shared" si="5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4"/>
        <v>#DIV/0!</v>
      </c>
      <c r="F86" s="80"/>
      <c r="G86" s="83"/>
      <c r="H86" s="17"/>
      <c r="I86" s="10" t="e">
        <f t="shared" si="5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4"/>
        <v>#DIV/0!</v>
      </c>
      <c r="F87" s="80"/>
      <c r="G87" s="83"/>
      <c r="H87" s="17"/>
      <c r="I87" s="10" t="e">
        <f t="shared" si="5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4"/>
        <v>#DIV/0!</v>
      </c>
      <c r="F88" s="85"/>
      <c r="G88" s="87"/>
      <c r="H88" s="62"/>
      <c r="I88" s="63" t="e">
        <f t="shared" si="5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4"/>
        <v>#DIV/0!</v>
      </c>
      <c r="F89" s="80"/>
      <c r="G89" s="83"/>
      <c r="H89" s="17"/>
      <c r="I89" s="10" t="e">
        <f t="shared" si="5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4"/>
        <v>#DIV/0!</v>
      </c>
      <c r="F90" s="80"/>
      <c r="G90" s="83"/>
      <c r="H90" s="17"/>
      <c r="I90" s="10" t="e">
        <f t="shared" si="5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4"/>
        <v>#DIV/0!</v>
      </c>
      <c r="F91" s="80"/>
      <c r="G91" s="83"/>
      <c r="H91" s="17"/>
      <c r="I91" s="10" t="e">
        <f t="shared" si="5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4"/>
        <v>#DIV/0!</v>
      </c>
      <c r="F92" s="80"/>
      <c r="G92" s="83"/>
      <c r="H92" s="17"/>
      <c r="I92" s="10" t="e">
        <f t="shared" si="5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4"/>
        <v>#DIV/0!</v>
      </c>
      <c r="F93" s="80"/>
      <c r="G93" s="83"/>
      <c r="H93" s="17"/>
      <c r="I93" s="10" t="e">
        <f t="shared" si="5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4"/>
        <v>#DIV/0!</v>
      </c>
      <c r="F94" s="80"/>
      <c r="G94" s="83"/>
      <c r="H94" s="17"/>
      <c r="I94" s="33" t="e">
        <f t="shared" si="5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4"/>
        <v>#DIV/0!</v>
      </c>
      <c r="F95" s="11"/>
      <c r="G95" s="84"/>
      <c r="H95" s="18"/>
      <c r="I95" s="43" t="e">
        <f t="shared" si="5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4"/>
        <v>#DIV/0!</v>
      </c>
      <c r="F96" s="86"/>
      <c r="G96" s="79"/>
      <c r="H96" s="40"/>
      <c r="I96" s="41" t="e">
        <f t="shared" si="5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VLOOKUP("&lt;T9Aktualisierung&gt;",Uebersetzungen!$B$4:$E$315,Uebersetzungen!$B$2+1,FALSE)</f>
        <v>Letztmals aktualisiert am: 22.02.2025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VLOOKUP("&lt;T9Legende_3&gt;",Uebersetzungen!$B$4:$E$315,Uebersetzungen!$B$2+1,FALSE)</f>
        <v>Daten des Oktober 2025 erscheinen am 5. Dezember 2025.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300-000000000000}"/>
    <hyperlink ref="E76" location="Länder_Pajais_Paesi!A1" display="Länder / Pajais / Paese" xr:uid="{00000000-0004-0000-03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9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1" t="str">
        <f>VLOOKUP("&lt;Fachbereich&gt;",Uebersetzungen!$B$4:$E$315,Uebersetzungen!$B$2+1,FALSE)</f>
        <v>Daten &amp; Statistik</v>
      </c>
      <c r="B7" s="131"/>
      <c r="C7" s="131"/>
      <c r="D7" s="131"/>
      <c r="E7" s="95"/>
      <c r="F7" s="1"/>
    </row>
    <row r="8" spans="1:10" ht="10.5" customHeight="1" x14ac:dyDescent="0.2"/>
    <row r="9" spans="1:10" ht="18" x14ac:dyDescent="0.25">
      <c r="A9" s="2" t="str">
        <f>VLOOKUP("&lt;T8Titel1&gt;",Uebersetzungen!$B$4:$E$315,Uebersetzungen!$B$2+1,FALSE)</f>
        <v>Hotel- und Kurbetriebe: Logiernächte im August 2026,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VLOOKUP("&lt;T8SpaltenTitel_1&gt;",Uebersetzungen!$B$4:$E$315,Uebersetzungen!$B$2+1,FALSE)</f>
        <v>August 2026</v>
      </c>
      <c r="D12" s="21" t="str">
        <f>VLOOKUP("&lt;T8SpaltenTitel_2&gt;",Uebersetzungen!$B$4:$E$315,Uebersetzungen!$B$2+1,FALSE)</f>
        <v>August 2025</v>
      </c>
      <c r="E12" s="22" t="str">
        <f>VLOOKUP("&lt;SpaltenTitel_3&gt;",Uebersetzungen!$B$4:$E$315,Uebersetzungen!$B$2+1,FALSE)</f>
        <v>Veränderung 26/25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VLOOKUP("&lt;T8SpaltenTitel_5&gt;",Uebersetzungen!$B$4:$E$315,Uebersetzungen!$B$2+1,FALSE)</f>
        <v>Januar-August 26</v>
      </c>
      <c r="H12" s="22" t="str">
        <f>VLOOKUP("&lt;T8SpaltenTitel_6&gt;",Uebersetzungen!$B$4:$E$315,Uebersetzungen!$B$2+1,FALSE)</f>
        <v>Januar-August 25</v>
      </c>
      <c r="I12" s="22" t="str">
        <f>VLOOKUP("&lt;SpaltenTitel_7&gt;",Uebersetzungen!$B$4:$E$315,Uebersetzungen!$B$2+1,FALSE)</f>
        <v>Veränderung 26/25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/>
      <c r="D27" s="52"/>
      <c r="E27" s="53" t="e">
        <f t="shared" si="0"/>
        <v>#DIV/0!</v>
      </c>
      <c r="F27" s="72"/>
      <c r="G27" s="77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/>
      <c r="D29" s="55"/>
      <c r="E29" s="53" t="e">
        <f t="shared" si="0"/>
        <v>#DIV/0!</v>
      </c>
      <c r="F29" s="72"/>
      <c r="G29" s="77"/>
      <c r="H29" s="55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/>
      <c r="D30" s="57"/>
      <c r="E30" s="53" t="e">
        <f t="shared" si="0"/>
        <v>#DIV/0!</v>
      </c>
      <c r="F30" s="73"/>
      <c r="G30" s="78"/>
      <c r="H30" s="57"/>
      <c r="I30" s="53" t="e">
        <f t="shared" si="1"/>
        <v>#DIV/0!</v>
      </c>
      <c r="J30" s="58"/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/>
      <c r="D31" s="19"/>
      <c r="E31" s="12" t="e">
        <f t="shared" si="0"/>
        <v>#DIV/0!</v>
      </c>
      <c r="F31" s="74"/>
      <c r="G31" s="79"/>
      <c r="H31" s="19"/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VLOOKUP("&lt;T8Titel2&gt;",Uebersetzungen!$B$4:$E$315,Uebersetzungen!$B$2+1,FALSE)</f>
        <v>Hotel- und Kurbetriebe: Logiernächte im August 2026,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VLOOKUP("&lt;T8SpaltenTitel_1&gt;",Uebersetzungen!$B$4:$E$315,Uebersetzungen!$B$2+1,FALSE)</f>
        <v>August 2026</v>
      </c>
      <c r="D39" s="21" t="str">
        <f>VLOOKUP("&lt;T8SpaltenTitel_2&gt;",Uebersetzungen!$B$4:$E$315,Uebersetzungen!$B$2+1,FALSE)</f>
        <v>August 2025</v>
      </c>
      <c r="E39" s="22" t="str">
        <f>VLOOKUP("&lt;SpaltenTitel_3&gt;",Uebersetzungen!$B$4:$E$315,Uebersetzungen!$B$2+1,FALSE)</f>
        <v>Veränderung 26/25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VLOOKUP("&lt;T8SpaltenTitel_5&gt;",Uebersetzungen!$B$4:$E$315,Uebersetzungen!$B$2+1,FALSE)</f>
        <v>Januar-August 26</v>
      </c>
      <c r="H39" s="22" t="str">
        <f>VLOOKUP("&lt;T8SpaltenTitel_6&gt;",Uebersetzungen!$B$4:$E$315,Uebersetzungen!$B$2+1,FALSE)</f>
        <v>Januar-August 25</v>
      </c>
      <c r="I39" s="22" t="str">
        <f>VLOOKUP("&lt;SpaltenTitel_7&gt;",Uebersetzungen!$B$4:$E$315,Uebersetzungen!$B$2+1,FALSE)</f>
        <v>Veränderung 26/25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2">C41/D41-1</f>
        <v>#DIV/0!</v>
      </c>
      <c r="F41" s="80"/>
      <c r="G41" s="83"/>
      <c r="H41" s="17"/>
      <c r="I41" s="10" t="e">
        <f t="shared" ref="I41:I74" si="3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2"/>
        <v>#DIV/0!</v>
      </c>
      <c r="F42" s="80"/>
      <c r="G42" s="83"/>
      <c r="H42" s="17"/>
      <c r="I42" s="10" t="e">
        <f t="shared" si="3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2"/>
        <v>#DIV/0!</v>
      </c>
      <c r="F43" s="80"/>
      <c r="G43" s="83"/>
      <c r="H43" s="17"/>
      <c r="I43" s="10" t="e">
        <f t="shared" si="3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2"/>
        <v>#DIV/0!</v>
      </c>
      <c r="F44" s="80"/>
      <c r="G44" s="83"/>
      <c r="H44" s="17"/>
      <c r="I44" s="10" t="e">
        <f t="shared" si="3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2"/>
        <v>#DIV/0!</v>
      </c>
      <c r="F45" s="80"/>
      <c r="G45" s="83"/>
      <c r="H45" s="17"/>
      <c r="I45" s="10" t="e">
        <f t="shared" si="3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2"/>
        <v>#DIV/0!</v>
      </c>
      <c r="F46" s="80"/>
      <c r="G46" s="83"/>
      <c r="H46" s="17"/>
      <c r="I46" s="10" t="e">
        <f t="shared" si="3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2"/>
        <v>#DIV/0!</v>
      </c>
      <c r="F47" s="80"/>
      <c r="G47" s="83"/>
      <c r="H47" s="17"/>
      <c r="I47" s="10" t="e">
        <f t="shared" si="3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2"/>
        <v>#DIV/0!</v>
      </c>
      <c r="F48" s="80"/>
      <c r="G48" s="83"/>
      <c r="H48" s="17"/>
      <c r="I48" s="10" t="e">
        <f t="shared" si="3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2"/>
        <v>#DIV/0!</v>
      </c>
      <c r="F49" s="80"/>
      <c r="G49" s="83"/>
      <c r="H49" s="17"/>
      <c r="I49" s="10" t="e">
        <f t="shared" si="3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2"/>
        <v>#DIV/0!</v>
      </c>
      <c r="F50" s="80"/>
      <c r="G50" s="83"/>
      <c r="H50" s="17"/>
      <c r="I50" s="10" t="e">
        <f t="shared" si="3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2"/>
        <v>#DIV/0!</v>
      </c>
      <c r="F51" s="80"/>
      <c r="G51" s="83"/>
      <c r="H51" s="17"/>
      <c r="I51" s="10" t="e">
        <f t="shared" si="3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2"/>
        <v>#DIV/0!</v>
      </c>
      <c r="F52" s="80"/>
      <c r="G52" s="83"/>
      <c r="H52" s="17"/>
      <c r="I52" s="10" t="e">
        <f t="shared" si="3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2"/>
        <v>#DIV/0!</v>
      </c>
      <c r="F53" s="80"/>
      <c r="G53" s="83"/>
      <c r="H53" s="17"/>
      <c r="I53" s="10" t="e">
        <f t="shared" si="3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2"/>
        <v>#DIV/0!</v>
      </c>
      <c r="F54" s="80"/>
      <c r="G54" s="83"/>
      <c r="H54" s="17"/>
      <c r="I54" s="10" t="e">
        <f t="shared" si="3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2"/>
        <v>#DIV/0!</v>
      </c>
      <c r="F55" s="80"/>
      <c r="G55" s="83"/>
      <c r="H55" s="17"/>
      <c r="I55" s="10" t="e">
        <f t="shared" si="3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2"/>
        <v>#DIV/0!</v>
      </c>
      <c r="F56" s="80"/>
      <c r="G56" s="83"/>
      <c r="H56" s="17"/>
      <c r="I56" s="10" t="e">
        <f t="shared" si="3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2"/>
        <v>#DIV/0!</v>
      </c>
      <c r="F57" s="80"/>
      <c r="G57" s="83"/>
      <c r="H57" s="17"/>
      <c r="I57" s="10" t="e">
        <f t="shared" si="3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2"/>
        <v>#DIV/0!</v>
      </c>
      <c r="F58" s="80"/>
      <c r="G58" s="83"/>
      <c r="H58" s="17"/>
      <c r="I58" s="10" t="e">
        <f t="shared" si="3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2"/>
        <v>#DIV/0!</v>
      </c>
      <c r="F59" s="80"/>
      <c r="G59" s="83"/>
      <c r="H59" s="17"/>
      <c r="I59" s="10" t="e">
        <f t="shared" si="3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2"/>
        <v>#DIV/0!</v>
      </c>
      <c r="F60" s="80"/>
      <c r="G60" s="83"/>
      <c r="H60" s="17"/>
      <c r="I60" s="10" t="e">
        <f t="shared" si="3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2"/>
        <v>#DIV/0!</v>
      </c>
      <c r="F61" s="80"/>
      <c r="G61" s="83"/>
      <c r="H61" s="17"/>
      <c r="I61" s="10" t="e">
        <f t="shared" si="3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2"/>
        <v>#DIV/0!</v>
      </c>
      <c r="F62" s="80"/>
      <c r="G62" s="83"/>
      <c r="H62" s="17"/>
      <c r="I62" s="10" t="e">
        <f t="shared" si="3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2"/>
        <v>#DIV/0!</v>
      </c>
      <c r="F63" s="80"/>
      <c r="G63" s="83"/>
      <c r="H63" s="17"/>
      <c r="I63" s="10" t="e">
        <f t="shared" si="3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2"/>
        <v>#DIV/0!</v>
      </c>
      <c r="F66" s="80"/>
      <c r="G66" s="83"/>
      <c r="H66" s="17"/>
      <c r="I66" s="10" t="e">
        <f t="shared" si="3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2"/>
        <v>#DIV/0!</v>
      </c>
      <c r="F67" s="80"/>
      <c r="G67" s="83"/>
      <c r="H67" s="17"/>
      <c r="I67" s="10" t="e">
        <f t="shared" si="3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2"/>
        <v>#DIV/0!</v>
      </c>
      <c r="F68" s="80"/>
      <c r="G68" s="83"/>
      <c r="H68" s="17"/>
      <c r="I68" s="10" t="e">
        <f t="shared" si="3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2"/>
        <v>#DIV/0!</v>
      </c>
      <c r="F69" s="80"/>
      <c r="G69" s="83"/>
      <c r="H69" s="17"/>
      <c r="I69" s="10" t="e">
        <f t="shared" si="3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2"/>
        <v>#DIV/0!</v>
      </c>
      <c r="F70" s="80"/>
      <c r="G70" s="83"/>
      <c r="H70" s="17"/>
      <c r="I70" s="10" t="e">
        <f t="shared" si="3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2"/>
        <v>#DIV/0!</v>
      </c>
      <c r="F71" s="80"/>
      <c r="G71" s="83"/>
      <c r="H71" s="17"/>
      <c r="I71" s="10" t="e">
        <f t="shared" si="3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2"/>
        <v>#DIV/0!</v>
      </c>
      <c r="F72" s="80"/>
      <c r="G72" s="83"/>
      <c r="H72" s="17"/>
      <c r="I72" s="10" t="e">
        <f t="shared" si="3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2"/>
        <v>#DIV/0!</v>
      </c>
      <c r="F73" s="81"/>
      <c r="G73" s="84"/>
      <c r="H73" s="18"/>
      <c r="I73" s="11" t="e">
        <f t="shared" si="3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2"/>
        <v>#DIV/0!</v>
      </c>
      <c r="F74" s="82">
        <f>F31</f>
        <v>0</v>
      </c>
      <c r="G74" s="79"/>
      <c r="H74" s="40"/>
      <c r="I74" s="65" t="e">
        <f t="shared" si="3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VLOOKUP("&lt;T8Titel3&gt;",Uebersetzungen!$B$4:$E$315,Uebersetzungen!$B$2+1,FALSE)</f>
        <v>Hotel- und Kurbetriebe: Logiernächte im August 2026,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VLOOKUP("&lt;T8SpaltenTitel_1&gt;",Uebersetzungen!$B$4:$E$315,Uebersetzungen!$B$2+1,FALSE)</f>
        <v>August 2026</v>
      </c>
      <c r="D82" s="21" t="str">
        <f>VLOOKUP("&lt;T8SpaltenTitel_2&gt;",Uebersetzungen!$B$4:$E$315,Uebersetzungen!$B$2+1,FALSE)</f>
        <v>August 2025</v>
      </c>
      <c r="E82" s="22" t="str">
        <f>VLOOKUP("&lt;SpaltenTitel_3&gt;",Uebersetzungen!$B$4:$E$315,Uebersetzungen!$B$2+1,FALSE)</f>
        <v>Veränderung 26/25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VLOOKUP("&lt;T8SpaltenTitel_5&gt;",Uebersetzungen!$B$4:$E$315,Uebersetzungen!$B$2+1,FALSE)</f>
        <v>Januar-August 26</v>
      </c>
      <c r="H82" s="22" t="str">
        <f>VLOOKUP("&lt;T8SpaltenTitel_6&gt;",Uebersetzungen!$B$4:$E$315,Uebersetzungen!$B$2+1,FALSE)</f>
        <v>Januar-August 25</v>
      </c>
      <c r="I82" s="22" t="str">
        <f>VLOOKUP("&lt;SpaltenTitel_7&gt;",Uebersetzungen!$B$4:$E$315,Uebersetzungen!$B$2+1,FALSE)</f>
        <v>Veränderung 26/25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4">C84/D84-1</f>
        <v>#DIV/0!</v>
      </c>
      <c r="F84" s="80"/>
      <c r="G84" s="83"/>
      <c r="H84" s="17"/>
      <c r="I84" s="10" t="e">
        <f t="shared" ref="I84:I96" si="5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4"/>
        <v>#DIV/0!</v>
      </c>
      <c r="F85" s="80"/>
      <c r="G85" s="83"/>
      <c r="H85" s="17"/>
      <c r="I85" s="10" t="e">
        <f t="shared" si="5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4"/>
        <v>#DIV/0!</v>
      </c>
      <c r="F86" s="80"/>
      <c r="G86" s="83"/>
      <c r="H86" s="17"/>
      <c r="I86" s="10" t="e">
        <f t="shared" si="5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4"/>
        <v>#DIV/0!</v>
      </c>
      <c r="F87" s="80"/>
      <c r="G87" s="83"/>
      <c r="H87" s="17"/>
      <c r="I87" s="10" t="e">
        <f t="shared" si="5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4"/>
        <v>#DIV/0!</v>
      </c>
      <c r="F88" s="85"/>
      <c r="G88" s="87"/>
      <c r="H88" s="62"/>
      <c r="I88" s="63" t="e">
        <f t="shared" si="5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4"/>
        <v>#DIV/0!</v>
      </c>
      <c r="F89" s="80"/>
      <c r="G89" s="83"/>
      <c r="H89" s="17"/>
      <c r="I89" s="10" t="e">
        <f t="shared" si="5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4"/>
        <v>#DIV/0!</v>
      </c>
      <c r="F90" s="80"/>
      <c r="G90" s="83"/>
      <c r="H90" s="17"/>
      <c r="I90" s="10" t="e">
        <f t="shared" si="5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4"/>
        <v>#DIV/0!</v>
      </c>
      <c r="F91" s="80"/>
      <c r="G91" s="83"/>
      <c r="H91" s="17"/>
      <c r="I91" s="10" t="e">
        <f t="shared" si="5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4"/>
        <v>#DIV/0!</v>
      </c>
      <c r="F92" s="80"/>
      <c r="G92" s="83"/>
      <c r="H92" s="17"/>
      <c r="I92" s="10" t="e">
        <f t="shared" si="5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4"/>
        <v>#DIV/0!</v>
      </c>
      <c r="F93" s="80"/>
      <c r="G93" s="83"/>
      <c r="H93" s="17"/>
      <c r="I93" s="10" t="e">
        <f t="shared" si="5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4"/>
        <v>#DIV/0!</v>
      </c>
      <c r="F94" s="80"/>
      <c r="G94" s="83"/>
      <c r="H94" s="17"/>
      <c r="I94" s="33" t="e">
        <f t="shared" si="5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4"/>
        <v>#DIV/0!</v>
      </c>
      <c r="F95" s="11"/>
      <c r="G95" s="84"/>
      <c r="H95" s="18"/>
      <c r="I95" s="43" t="e">
        <f t="shared" si="5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4"/>
        <v>#DIV/0!</v>
      </c>
      <c r="F96" s="86"/>
      <c r="G96" s="79"/>
      <c r="H96" s="40"/>
      <c r="I96" s="41" t="e">
        <f t="shared" si="5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VLOOKUP("&lt;T8Aktualisierung&gt;",Uebersetzungen!$B$4:$E$315,Uebersetzungen!$B$2+1,FALSE)</f>
        <v>Letztmals aktualisiert am: 22.02.2025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VLOOKUP("&lt;T8Legende_3&gt;",Uebersetzungen!$B$4:$E$315,Uebersetzungen!$B$2+1,FALSE)</f>
        <v>Daten des September 2025 erscheinen am 4. November 2025.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400-000000000000}"/>
    <hyperlink ref="E76" location="Länder_Pajais_Paesi!A1" display="Länder / Pajais / Paese" xr:uid="{00000000-0004-0000-04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1" t="str">
        <f>VLOOKUP("&lt;Fachbereich&gt;",Uebersetzungen!$B$4:$E$315,Uebersetzungen!$B$2+1,FALSE)</f>
        <v>Daten &amp; Statistik</v>
      </c>
      <c r="B7" s="131"/>
      <c r="C7" s="131"/>
      <c r="D7" s="131"/>
      <c r="E7" s="95"/>
      <c r="F7" s="1"/>
    </row>
    <row r="8" spans="1:10" ht="10.5" customHeight="1" x14ac:dyDescent="0.2"/>
    <row r="9" spans="1:10" ht="18" x14ac:dyDescent="0.25">
      <c r="A9" s="2" t="str">
        <f>VLOOKUP("&lt;T7Titel1&gt;",Uebersetzungen!$B$4:$E$315,Uebersetzungen!$B$2+1,FALSE)</f>
        <v>Hotel- und Kurbetriebe: Logiernächte im Juli 2026,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VLOOKUP("&lt;T7SpaltenTitel_1&gt;",Uebersetzungen!$B$4:$E$315,Uebersetzungen!$B$2+1,FALSE)</f>
        <v>Juli 2026</v>
      </c>
      <c r="D12" s="21" t="str">
        <f>VLOOKUP("&lt;T7SpaltenTitel_2&gt;",Uebersetzungen!$B$4:$E$315,Uebersetzungen!$B$2+1,FALSE)</f>
        <v>Juli 2025</v>
      </c>
      <c r="E12" s="22" t="str">
        <f>VLOOKUP("&lt;SpaltenTitel_3&gt;",Uebersetzungen!$B$4:$E$315,Uebersetzungen!$B$2+1,FALSE)</f>
        <v>Veränderung 26/25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VLOOKUP("&lt;T7SpaltenTitel_5&gt;",Uebersetzungen!$B$4:$E$315,Uebersetzungen!$B$2+1,FALSE)</f>
        <v>Januar-Juli 26</v>
      </c>
      <c r="H12" s="22" t="str">
        <f>VLOOKUP("&lt;T7SpaltenTitel_6&gt;",Uebersetzungen!$B$4:$E$315,Uebersetzungen!$B$2+1,FALSE)</f>
        <v>Januar-Juli 25</v>
      </c>
      <c r="I12" s="22" t="str">
        <f>VLOOKUP("&lt;SpaltenTitel_7&gt;",Uebersetzungen!$B$4:$E$315,Uebersetzungen!$B$2+1,FALSE)</f>
        <v>Veränderung 26/25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/>
      <c r="D27" s="52"/>
      <c r="E27" s="53" t="e">
        <f t="shared" si="0"/>
        <v>#DIV/0!</v>
      </c>
      <c r="F27" s="72"/>
      <c r="G27" s="77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/>
      <c r="D29" s="55"/>
      <c r="E29" s="53" t="e">
        <f t="shared" si="0"/>
        <v>#DIV/0!</v>
      </c>
      <c r="F29" s="72"/>
      <c r="G29" s="77"/>
      <c r="H29" s="55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/>
      <c r="D30" s="57"/>
      <c r="E30" s="53" t="e">
        <f t="shared" si="0"/>
        <v>#DIV/0!</v>
      </c>
      <c r="F30" s="73"/>
      <c r="G30" s="78"/>
      <c r="H30" s="57"/>
      <c r="I30" s="53" t="e">
        <f t="shared" si="1"/>
        <v>#DIV/0!</v>
      </c>
      <c r="J30" s="58" t="s">
        <v>42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/>
      <c r="D31" s="19"/>
      <c r="E31" s="12" t="e">
        <f t="shared" si="0"/>
        <v>#DIV/0!</v>
      </c>
      <c r="F31" s="74"/>
      <c r="G31" s="79"/>
      <c r="H31" s="19"/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VLOOKUP("&lt;T7Titel2&gt;",Uebersetzungen!$B$4:$E$315,Uebersetzungen!$B$2+1,FALSE)</f>
        <v>Hotel- und Kurbetriebe: Logiernächte im Juli 2026,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VLOOKUP("&lt;T7SpaltenTitel_1&gt;",Uebersetzungen!$B$4:$E$315,Uebersetzungen!$B$2+1,FALSE)</f>
        <v>Juli 2026</v>
      </c>
      <c r="D39" s="21" t="str">
        <f>VLOOKUP("&lt;T7SpaltenTitel_2&gt;",Uebersetzungen!$B$4:$E$315,Uebersetzungen!$B$2+1,FALSE)</f>
        <v>Juli 2025</v>
      </c>
      <c r="E39" s="22" t="str">
        <f>VLOOKUP("&lt;SpaltenTitel_3&gt;",Uebersetzungen!$B$4:$E$315,Uebersetzungen!$B$2+1,FALSE)</f>
        <v>Veränderung 26/25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VLOOKUP("&lt;T7SpaltenTitel_5&gt;",Uebersetzungen!$B$4:$E$315,Uebersetzungen!$B$2+1,FALSE)</f>
        <v>Januar-Juli 26</v>
      </c>
      <c r="H39" s="22" t="str">
        <f>VLOOKUP("&lt;T7SpaltenTitel_6&gt;",Uebersetzungen!$B$4:$E$315,Uebersetzungen!$B$2+1,FALSE)</f>
        <v>Januar-Juli 25</v>
      </c>
      <c r="I39" s="22" t="str">
        <f>VLOOKUP("&lt;SpaltenTitel_7&gt;",Uebersetzungen!$B$4:$E$315,Uebersetzungen!$B$2+1,FALSE)</f>
        <v>Veränderung 26/25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2">C41/D41-1</f>
        <v>#DIV/0!</v>
      </c>
      <c r="F41" s="80"/>
      <c r="G41" s="83"/>
      <c r="H41" s="17"/>
      <c r="I41" s="10" t="e">
        <f t="shared" ref="I41:I74" si="3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2"/>
        <v>#DIV/0!</v>
      </c>
      <c r="F42" s="80"/>
      <c r="G42" s="83"/>
      <c r="H42" s="17"/>
      <c r="I42" s="10" t="e">
        <f t="shared" si="3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2"/>
        <v>#DIV/0!</v>
      </c>
      <c r="F43" s="80"/>
      <c r="G43" s="83"/>
      <c r="H43" s="17"/>
      <c r="I43" s="10" t="e">
        <f t="shared" si="3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2"/>
        <v>#DIV/0!</v>
      </c>
      <c r="F44" s="80"/>
      <c r="G44" s="83"/>
      <c r="H44" s="17"/>
      <c r="I44" s="10" t="e">
        <f t="shared" si="3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2"/>
        <v>#DIV/0!</v>
      </c>
      <c r="F45" s="80"/>
      <c r="G45" s="83"/>
      <c r="H45" s="17"/>
      <c r="I45" s="10" t="e">
        <f t="shared" si="3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2"/>
        <v>#DIV/0!</v>
      </c>
      <c r="F46" s="80"/>
      <c r="G46" s="83"/>
      <c r="H46" s="17"/>
      <c r="I46" s="10" t="e">
        <f t="shared" si="3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2"/>
        <v>#DIV/0!</v>
      </c>
      <c r="F47" s="80"/>
      <c r="G47" s="83"/>
      <c r="H47" s="17"/>
      <c r="I47" s="10" t="e">
        <f t="shared" si="3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2"/>
        <v>#DIV/0!</v>
      </c>
      <c r="F48" s="80"/>
      <c r="G48" s="83"/>
      <c r="H48" s="17"/>
      <c r="I48" s="10" t="e">
        <f t="shared" si="3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2"/>
        <v>#DIV/0!</v>
      </c>
      <c r="F49" s="80"/>
      <c r="G49" s="83"/>
      <c r="H49" s="17"/>
      <c r="I49" s="10" t="e">
        <f t="shared" si="3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2"/>
        <v>#DIV/0!</v>
      </c>
      <c r="F50" s="80"/>
      <c r="G50" s="83"/>
      <c r="H50" s="17"/>
      <c r="I50" s="10" t="e">
        <f t="shared" si="3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2"/>
        <v>#DIV/0!</v>
      </c>
      <c r="F51" s="80"/>
      <c r="G51" s="83"/>
      <c r="H51" s="17"/>
      <c r="I51" s="10" t="e">
        <f t="shared" si="3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2"/>
        <v>#DIV/0!</v>
      </c>
      <c r="F52" s="80"/>
      <c r="G52" s="83"/>
      <c r="H52" s="17"/>
      <c r="I52" s="10" t="e">
        <f t="shared" si="3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2"/>
        <v>#DIV/0!</v>
      </c>
      <c r="F53" s="80"/>
      <c r="G53" s="83"/>
      <c r="H53" s="17"/>
      <c r="I53" s="10" t="e">
        <f t="shared" si="3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2"/>
        <v>#DIV/0!</v>
      </c>
      <c r="F54" s="80"/>
      <c r="G54" s="83"/>
      <c r="H54" s="17"/>
      <c r="I54" s="10" t="e">
        <f t="shared" si="3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2"/>
        <v>#DIV/0!</v>
      </c>
      <c r="F55" s="80"/>
      <c r="G55" s="83"/>
      <c r="H55" s="17"/>
      <c r="I55" s="10" t="e">
        <f t="shared" si="3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2"/>
        <v>#DIV/0!</v>
      </c>
      <c r="F56" s="80"/>
      <c r="G56" s="83"/>
      <c r="H56" s="17"/>
      <c r="I56" s="10" t="e">
        <f t="shared" si="3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2"/>
        <v>#DIV/0!</v>
      </c>
      <c r="F57" s="80"/>
      <c r="G57" s="83"/>
      <c r="H57" s="17"/>
      <c r="I57" s="10" t="e">
        <f t="shared" si="3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2"/>
        <v>#DIV/0!</v>
      </c>
      <c r="F58" s="80"/>
      <c r="G58" s="83"/>
      <c r="H58" s="17"/>
      <c r="I58" s="10" t="e">
        <f t="shared" si="3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2"/>
        <v>#DIV/0!</v>
      </c>
      <c r="F59" s="80"/>
      <c r="G59" s="83"/>
      <c r="H59" s="17"/>
      <c r="I59" s="10" t="e">
        <f t="shared" si="3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2"/>
        <v>#DIV/0!</v>
      </c>
      <c r="F60" s="80"/>
      <c r="G60" s="83"/>
      <c r="H60" s="17"/>
      <c r="I60" s="10" t="e">
        <f t="shared" si="3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2"/>
        <v>#DIV/0!</v>
      </c>
      <c r="F61" s="80"/>
      <c r="G61" s="83"/>
      <c r="H61" s="17"/>
      <c r="I61" s="10" t="e">
        <f t="shared" si="3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2"/>
        <v>#DIV/0!</v>
      </c>
      <c r="F62" s="80"/>
      <c r="G62" s="83"/>
      <c r="H62" s="17"/>
      <c r="I62" s="10" t="e">
        <f t="shared" si="3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2"/>
        <v>#DIV/0!</v>
      </c>
      <c r="F63" s="80"/>
      <c r="G63" s="83"/>
      <c r="H63" s="17"/>
      <c r="I63" s="10" t="e">
        <f t="shared" si="3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2"/>
        <v>#DIV/0!</v>
      </c>
      <c r="F66" s="80"/>
      <c r="G66" s="83"/>
      <c r="H66" s="17"/>
      <c r="I66" s="10" t="e">
        <f t="shared" si="3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2"/>
        <v>#DIV/0!</v>
      </c>
      <c r="F67" s="80"/>
      <c r="G67" s="83"/>
      <c r="H67" s="17"/>
      <c r="I67" s="10" t="e">
        <f t="shared" si="3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2"/>
        <v>#DIV/0!</v>
      </c>
      <c r="F68" s="80"/>
      <c r="G68" s="83"/>
      <c r="H68" s="17"/>
      <c r="I68" s="10" t="e">
        <f t="shared" si="3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2"/>
        <v>#DIV/0!</v>
      </c>
      <c r="F69" s="80"/>
      <c r="G69" s="83"/>
      <c r="H69" s="17"/>
      <c r="I69" s="10" t="e">
        <f t="shared" si="3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2"/>
        <v>#DIV/0!</v>
      </c>
      <c r="F70" s="80"/>
      <c r="G70" s="83"/>
      <c r="H70" s="17"/>
      <c r="I70" s="10" t="e">
        <f t="shared" si="3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2"/>
        <v>#DIV/0!</v>
      </c>
      <c r="F71" s="80"/>
      <c r="G71" s="83"/>
      <c r="H71" s="17"/>
      <c r="I71" s="10" t="e">
        <f t="shared" si="3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2"/>
        <v>#DIV/0!</v>
      </c>
      <c r="F72" s="80"/>
      <c r="G72" s="83"/>
      <c r="H72" s="17"/>
      <c r="I72" s="10" t="e">
        <f t="shared" si="3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2"/>
        <v>#DIV/0!</v>
      </c>
      <c r="F73" s="81"/>
      <c r="G73" s="84"/>
      <c r="H73" s="18"/>
      <c r="I73" s="11" t="e">
        <f t="shared" si="3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2"/>
        <v>#DIV/0!</v>
      </c>
      <c r="F74" s="82">
        <f>F31</f>
        <v>0</v>
      </c>
      <c r="G74" s="79"/>
      <c r="H74" s="40"/>
      <c r="I74" s="65" t="e">
        <f t="shared" si="3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VLOOKUP("&lt;T7Titel3&gt;",Uebersetzungen!$B$4:$E$315,Uebersetzungen!$B$2+1,FALSE)</f>
        <v>Hotel- und Kurbetriebe: Logiernächte im Juli 2026,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VLOOKUP("&lt;T7SpaltenTitel_1&gt;",Uebersetzungen!$B$4:$E$315,Uebersetzungen!$B$2+1,FALSE)</f>
        <v>Juli 2026</v>
      </c>
      <c r="D82" s="21" t="str">
        <f>VLOOKUP("&lt;T7SpaltenTitel_2&gt;",Uebersetzungen!$B$4:$E$315,Uebersetzungen!$B$2+1,FALSE)</f>
        <v>Juli 2025</v>
      </c>
      <c r="E82" s="22" t="str">
        <f>VLOOKUP("&lt;SpaltenTitel_3&gt;",Uebersetzungen!$B$4:$E$315,Uebersetzungen!$B$2+1,FALSE)</f>
        <v>Veränderung 26/25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VLOOKUP("&lt;T7SpaltenTitel_5&gt;",Uebersetzungen!$B$4:$E$315,Uebersetzungen!$B$2+1,FALSE)</f>
        <v>Januar-Juli 26</v>
      </c>
      <c r="H82" s="22" t="str">
        <f>VLOOKUP("&lt;T7SpaltenTitel_6&gt;",Uebersetzungen!$B$4:$E$315,Uebersetzungen!$B$2+1,FALSE)</f>
        <v>Januar-Juli 25</v>
      </c>
      <c r="I82" s="22" t="str">
        <f>VLOOKUP("&lt;SpaltenTitel_7&gt;",Uebersetzungen!$B$4:$E$315,Uebersetzungen!$B$2+1,FALSE)</f>
        <v>Veränderung 26/25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4">C84/D84-1</f>
        <v>#DIV/0!</v>
      </c>
      <c r="F84" s="80"/>
      <c r="G84" s="83"/>
      <c r="H84" s="17"/>
      <c r="I84" s="10" t="e">
        <f t="shared" ref="I84:I96" si="5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4"/>
        <v>#DIV/0!</v>
      </c>
      <c r="F85" s="80"/>
      <c r="G85" s="83"/>
      <c r="H85" s="17"/>
      <c r="I85" s="10" t="e">
        <f t="shared" si="5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4"/>
        <v>#DIV/0!</v>
      </c>
      <c r="F86" s="80"/>
      <c r="G86" s="83"/>
      <c r="H86" s="17"/>
      <c r="I86" s="10" t="e">
        <f t="shared" si="5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4"/>
        <v>#DIV/0!</v>
      </c>
      <c r="F87" s="80"/>
      <c r="G87" s="83"/>
      <c r="H87" s="17"/>
      <c r="I87" s="10" t="e">
        <f t="shared" si="5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4"/>
        <v>#DIV/0!</v>
      </c>
      <c r="F88" s="85"/>
      <c r="G88" s="87"/>
      <c r="H88" s="62"/>
      <c r="I88" s="63" t="e">
        <f t="shared" si="5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4"/>
        <v>#DIV/0!</v>
      </c>
      <c r="F89" s="80"/>
      <c r="G89" s="83"/>
      <c r="H89" s="17"/>
      <c r="I89" s="10" t="e">
        <f t="shared" si="5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4"/>
        <v>#DIV/0!</v>
      </c>
      <c r="F90" s="80"/>
      <c r="G90" s="83"/>
      <c r="H90" s="17"/>
      <c r="I90" s="10" t="e">
        <f t="shared" si="5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4"/>
        <v>#DIV/0!</v>
      </c>
      <c r="F91" s="80"/>
      <c r="G91" s="83"/>
      <c r="H91" s="17"/>
      <c r="I91" s="10" t="e">
        <f t="shared" si="5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4"/>
        <v>#DIV/0!</v>
      </c>
      <c r="F92" s="80"/>
      <c r="G92" s="83"/>
      <c r="H92" s="17"/>
      <c r="I92" s="10" t="e">
        <f t="shared" si="5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4"/>
        <v>#DIV/0!</v>
      </c>
      <c r="F93" s="80"/>
      <c r="G93" s="83"/>
      <c r="H93" s="17"/>
      <c r="I93" s="10" t="e">
        <f t="shared" si="5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4"/>
        <v>#DIV/0!</v>
      </c>
      <c r="F94" s="80"/>
      <c r="G94" s="83"/>
      <c r="H94" s="17"/>
      <c r="I94" s="33" t="e">
        <f t="shared" si="5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4"/>
        <v>#DIV/0!</v>
      </c>
      <c r="F95" s="11"/>
      <c r="G95" s="84"/>
      <c r="H95" s="18"/>
      <c r="I95" s="43" t="e">
        <f t="shared" si="5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4"/>
        <v>#DIV/0!</v>
      </c>
      <c r="F96" s="86"/>
      <c r="G96" s="79"/>
      <c r="H96" s="40"/>
      <c r="I96" s="41" t="e">
        <f t="shared" si="5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VLOOKUP("&lt;T7Aktualisierung&gt;",Uebersetzungen!$B$4:$E$315,Uebersetzungen!$B$2+1,FALSE)</f>
        <v>Letztmals aktualisiert am: 22.02.2025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VLOOKUP("&lt;T7Legende_3&gt;",Uebersetzungen!$B$4:$E$315,Uebersetzungen!$B$2+1,FALSE)</f>
        <v>Daten des August 2025 erscheinen am 4. Oktober 2025.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500-000000000000}"/>
    <hyperlink ref="E76" location="Länder_Pajais_Paesi!A1" display="Länder / Pajais / Paese" xr:uid="{00000000-0004-0000-05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1" t="str">
        <f>VLOOKUP("&lt;Fachbereich&gt;",Uebersetzungen!$B$4:$E$315,Uebersetzungen!$B$2+1,FALSE)</f>
        <v>Daten &amp; Statistik</v>
      </c>
      <c r="B7" s="131"/>
      <c r="C7" s="131"/>
      <c r="D7" s="131"/>
      <c r="E7" s="95"/>
      <c r="F7" s="1"/>
    </row>
    <row r="8" spans="1:10" ht="10.5" customHeight="1" x14ac:dyDescent="0.2"/>
    <row r="9" spans="1:10" ht="18" x14ac:dyDescent="0.25">
      <c r="A9" s="2" t="str">
        <f>VLOOKUP("&lt;T6Titel1&gt;",Uebersetzungen!$B$4:$E$315,Uebersetzungen!$B$2+1,FALSE)</f>
        <v>Hotel- und Kurbetriebe: Logiernächte im Juni 2026,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VLOOKUP("&lt;T6SpaltenTitel_1&gt;",Uebersetzungen!$B$4:$E$315,Uebersetzungen!$B$2+1,FALSE)</f>
        <v>Juni 2026</v>
      </c>
      <c r="D12" s="21" t="str">
        <f>VLOOKUP("&lt;T6SpaltenTitel_2&gt;",Uebersetzungen!$B$4:$E$315,Uebersetzungen!$B$2+1,FALSE)</f>
        <v>Juni 2025</v>
      </c>
      <c r="E12" s="22" t="str">
        <f>VLOOKUP("&lt;SpaltenTitel_3&gt;",Uebersetzungen!$B$4:$E$315,Uebersetzungen!$B$2+1,FALSE)</f>
        <v>Veränderung 26/25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VLOOKUP("&lt;T6SpaltenTitel_5&gt;",Uebersetzungen!$B$4:$E$315,Uebersetzungen!$B$2+1,FALSE)</f>
        <v>Januar-Juni 26</v>
      </c>
      <c r="H12" s="22" t="str">
        <f>VLOOKUP("&lt;T6SpaltenTitel_6&gt;",Uebersetzungen!$B$4:$E$315,Uebersetzungen!$B$2+1,FALSE)</f>
        <v>Januar-Juni 25</v>
      </c>
      <c r="I12" s="22" t="str">
        <f>VLOOKUP("&lt;SpaltenTitel_7&gt;",Uebersetzungen!$B$4:$E$315,Uebersetzungen!$B$2+1,FALSE)</f>
        <v>Veränderung 26/25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/>
      <c r="D27" s="52"/>
      <c r="E27" s="53" t="e">
        <f t="shared" si="0"/>
        <v>#DIV/0!</v>
      </c>
      <c r="F27" s="72"/>
      <c r="G27" s="77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/>
      <c r="D29" s="55"/>
      <c r="E29" s="53" t="e">
        <f t="shared" si="0"/>
        <v>#DIV/0!</v>
      </c>
      <c r="F29" s="72"/>
      <c r="G29" s="77"/>
      <c r="H29" s="55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/>
      <c r="D30" s="57"/>
      <c r="E30" s="53" t="e">
        <f t="shared" si="0"/>
        <v>#DIV/0!</v>
      </c>
      <c r="F30" s="73"/>
      <c r="G30" s="78"/>
      <c r="H30" s="57"/>
      <c r="I30" s="53" t="e">
        <f t="shared" si="1"/>
        <v>#DIV/0!</v>
      </c>
      <c r="J30" s="58"/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/>
      <c r="D31" s="19"/>
      <c r="E31" s="12" t="e">
        <f t="shared" si="0"/>
        <v>#DIV/0!</v>
      </c>
      <c r="F31" s="74"/>
      <c r="G31" s="79"/>
      <c r="H31" s="19"/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VLOOKUP("&lt;T6Titel2&gt;",Uebersetzungen!$B$4:$E$315,Uebersetzungen!$B$2+1,FALSE)</f>
        <v>Hotel- und Kurbetriebe: Logiernächte im Juni 2026,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VLOOKUP("&lt;T6SpaltenTitel_1&gt;",Uebersetzungen!$B$4:$E$315,Uebersetzungen!$B$2+1,FALSE)</f>
        <v>Juni 2026</v>
      </c>
      <c r="D39" s="21" t="str">
        <f>VLOOKUP("&lt;T6SpaltenTitel_2&gt;",Uebersetzungen!$B$4:$E$315,Uebersetzungen!$B$2+1,FALSE)</f>
        <v>Juni 2025</v>
      </c>
      <c r="E39" s="22" t="str">
        <f>VLOOKUP("&lt;SpaltenTitel_3&gt;",Uebersetzungen!$B$4:$E$315,Uebersetzungen!$B$2+1,FALSE)</f>
        <v>Veränderung 26/25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VLOOKUP("&lt;T6SpaltenTitel_5&gt;",Uebersetzungen!$B$4:$E$315,Uebersetzungen!$B$2+1,FALSE)</f>
        <v>Januar-Juni 26</v>
      </c>
      <c r="H39" s="22" t="str">
        <f>VLOOKUP("&lt;T6SpaltenTitel_6&gt;",Uebersetzungen!$B$4:$E$315,Uebersetzungen!$B$2+1,FALSE)</f>
        <v>Januar-Juni 25</v>
      </c>
      <c r="I39" s="22" t="str">
        <f>VLOOKUP("&lt;SpaltenTitel_7&gt;",Uebersetzungen!$B$4:$E$315,Uebersetzungen!$B$2+1,FALSE)</f>
        <v>Veränderung 26/25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2">C41/D41-1</f>
        <v>#DIV/0!</v>
      </c>
      <c r="F41" s="80"/>
      <c r="G41" s="83"/>
      <c r="H41" s="17"/>
      <c r="I41" s="10" t="e">
        <f t="shared" ref="I41:I74" si="3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2"/>
        <v>#DIV/0!</v>
      </c>
      <c r="F42" s="80"/>
      <c r="G42" s="83"/>
      <c r="H42" s="17"/>
      <c r="I42" s="10" t="e">
        <f t="shared" si="3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2"/>
        <v>#DIV/0!</v>
      </c>
      <c r="F43" s="80"/>
      <c r="G43" s="83"/>
      <c r="H43" s="17"/>
      <c r="I43" s="10" t="e">
        <f t="shared" si="3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2"/>
        <v>#DIV/0!</v>
      </c>
      <c r="F44" s="80"/>
      <c r="G44" s="83"/>
      <c r="H44" s="17"/>
      <c r="I44" s="10" t="e">
        <f t="shared" si="3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2"/>
        <v>#DIV/0!</v>
      </c>
      <c r="F45" s="80"/>
      <c r="G45" s="83"/>
      <c r="H45" s="17"/>
      <c r="I45" s="10" t="e">
        <f t="shared" si="3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2"/>
        <v>#DIV/0!</v>
      </c>
      <c r="F46" s="80"/>
      <c r="G46" s="83"/>
      <c r="H46" s="17"/>
      <c r="I46" s="10" t="e">
        <f t="shared" si="3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2"/>
        <v>#DIV/0!</v>
      </c>
      <c r="F47" s="80"/>
      <c r="G47" s="83"/>
      <c r="H47" s="17"/>
      <c r="I47" s="10" t="e">
        <f t="shared" si="3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2"/>
        <v>#DIV/0!</v>
      </c>
      <c r="F48" s="80"/>
      <c r="G48" s="83"/>
      <c r="H48" s="17"/>
      <c r="I48" s="10" t="e">
        <f t="shared" si="3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2"/>
        <v>#DIV/0!</v>
      </c>
      <c r="F49" s="80"/>
      <c r="G49" s="83"/>
      <c r="H49" s="17"/>
      <c r="I49" s="10" t="e">
        <f t="shared" si="3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2"/>
        <v>#DIV/0!</v>
      </c>
      <c r="F50" s="80"/>
      <c r="G50" s="83"/>
      <c r="H50" s="17"/>
      <c r="I50" s="10" t="e">
        <f t="shared" si="3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2"/>
        <v>#DIV/0!</v>
      </c>
      <c r="F51" s="80"/>
      <c r="G51" s="83"/>
      <c r="H51" s="17"/>
      <c r="I51" s="10" t="e">
        <f t="shared" si="3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2"/>
        <v>#DIV/0!</v>
      </c>
      <c r="F52" s="80"/>
      <c r="G52" s="83"/>
      <c r="H52" s="17"/>
      <c r="I52" s="10" t="e">
        <f t="shared" si="3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2"/>
        <v>#DIV/0!</v>
      </c>
      <c r="F53" s="80"/>
      <c r="G53" s="83"/>
      <c r="H53" s="17"/>
      <c r="I53" s="10" t="e">
        <f t="shared" si="3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2"/>
        <v>#DIV/0!</v>
      </c>
      <c r="F54" s="80"/>
      <c r="G54" s="83"/>
      <c r="H54" s="17"/>
      <c r="I54" s="10" t="e">
        <f t="shared" si="3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2"/>
        <v>#DIV/0!</v>
      </c>
      <c r="F55" s="80"/>
      <c r="G55" s="83"/>
      <c r="H55" s="17"/>
      <c r="I55" s="10" t="e">
        <f t="shared" si="3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2"/>
        <v>#DIV/0!</v>
      </c>
      <c r="F56" s="80"/>
      <c r="G56" s="83"/>
      <c r="H56" s="17"/>
      <c r="I56" s="10" t="e">
        <f t="shared" si="3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2"/>
        <v>#DIV/0!</v>
      </c>
      <c r="F57" s="80"/>
      <c r="G57" s="83"/>
      <c r="H57" s="17"/>
      <c r="I57" s="10" t="e">
        <f t="shared" si="3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2"/>
        <v>#DIV/0!</v>
      </c>
      <c r="F58" s="80"/>
      <c r="G58" s="83"/>
      <c r="H58" s="17"/>
      <c r="I58" s="10" t="e">
        <f t="shared" si="3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2"/>
        <v>#DIV/0!</v>
      </c>
      <c r="F59" s="80"/>
      <c r="G59" s="83"/>
      <c r="H59" s="17"/>
      <c r="I59" s="10" t="e">
        <f t="shared" si="3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2"/>
        <v>#DIV/0!</v>
      </c>
      <c r="F60" s="80"/>
      <c r="G60" s="83"/>
      <c r="H60" s="17"/>
      <c r="I60" s="10" t="e">
        <f t="shared" si="3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2"/>
        <v>#DIV/0!</v>
      </c>
      <c r="F61" s="80"/>
      <c r="G61" s="83"/>
      <c r="H61" s="17"/>
      <c r="I61" s="10" t="e">
        <f t="shared" si="3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2"/>
        <v>#DIV/0!</v>
      </c>
      <c r="F62" s="80"/>
      <c r="G62" s="83"/>
      <c r="H62" s="17"/>
      <c r="I62" s="10" t="e">
        <f t="shared" si="3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2"/>
        <v>#DIV/0!</v>
      </c>
      <c r="F63" s="80"/>
      <c r="G63" s="83"/>
      <c r="H63" s="17"/>
      <c r="I63" s="10" t="e">
        <f t="shared" si="3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2"/>
        <v>#DIV/0!</v>
      </c>
      <c r="F66" s="80"/>
      <c r="G66" s="83"/>
      <c r="H66" s="17"/>
      <c r="I66" s="10" t="e">
        <f t="shared" si="3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2"/>
        <v>#DIV/0!</v>
      </c>
      <c r="F67" s="80"/>
      <c r="G67" s="83"/>
      <c r="H67" s="17"/>
      <c r="I67" s="10" t="e">
        <f t="shared" si="3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2"/>
        <v>#DIV/0!</v>
      </c>
      <c r="F68" s="80"/>
      <c r="G68" s="83"/>
      <c r="H68" s="17"/>
      <c r="I68" s="10" t="e">
        <f t="shared" si="3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2"/>
        <v>#DIV/0!</v>
      </c>
      <c r="F69" s="80"/>
      <c r="G69" s="83"/>
      <c r="H69" s="17"/>
      <c r="I69" s="10" t="e">
        <f t="shared" si="3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2"/>
        <v>#DIV/0!</v>
      </c>
      <c r="F70" s="80"/>
      <c r="G70" s="83"/>
      <c r="H70" s="17"/>
      <c r="I70" s="10" t="e">
        <f t="shared" si="3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2"/>
        <v>#DIV/0!</v>
      </c>
      <c r="F71" s="80"/>
      <c r="G71" s="83"/>
      <c r="H71" s="17"/>
      <c r="I71" s="10" t="e">
        <f t="shared" si="3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2"/>
        <v>#DIV/0!</v>
      </c>
      <c r="F72" s="80"/>
      <c r="G72" s="83"/>
      <c r="H72" s="17"/>
      <c r="I72" s="10" t="e">
        <f t="shared" si="3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2"/>
        <v>#DIV/0!</v>
      </c>
      <c r="F73" s="81"/>
      <c r="G73" s="84"/>
      <c r="H73" s="18"/>
      <c r="I73" s="11" t="e">
        <f t="shared" si="3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2"/>
        <v>#DIV/0!</v>
      </c>
      <c r="F74" s="82">
        <f>F31</f>
        <v>0</v>
      </c>
      <c r="G74" s="79"/>
      <c r="H74" s="40"/>
      <c r="I74" s="65" t="e">
        <f t="shared" si="3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VLOOKUP("&lt;T6Titel3&gt;",Uebersetzungen!$B$4:$E$315,Uebersetzungen!$B$2+1,FALSE)</f>
        <v>Hotel- und Kurbetriebe: Logiernächte im Juni 2026,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VLOOKUP("&lt;T6SpaltenTitel_1&gt;",Uebersetzungen!$B$4:$E$315,Uebersetzungen!$B$2+1,FALSE)</f>
        <v>Juni 2026</v>
      </c>
      <c r="D82" s="21" t="str">
        <f>VLOOKUP("&lt;T6SpaltenTitel_2&gt;",Uebersetzungen!$B$4:$E$315,Uebersetzungen!$B$2+1,FALSE)</f>
        <v>Juni 2025</v>
      </c>
      <c r="E82" s="22" t="str">
        <f>VLOOKUP("&lt;SpaltenTitel_3&gt;",Uebersetzungen!$B$4:$E$315,Uebersetzungen!$B$2+1,FALSE)</f>
        <v>Veränderung 26/25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VLOOKUP("&lt;T6SpaltenTitel_5&gt;",Uebersetzungen!$B$4:$E$315,Uebersetzungen!$B$2+1,FALSE)</f>
        <v>Januar-Juni 26</v>
      </c>
      <c r="H82" s="22" t="str">
        <f>VLOOKUP("&lt;T6SpaltenTitel_6&gt;",Uebersetzungen!$B$4:$E$315,Uebersetzungen!$B$2+1,FALSE)</f>
        <v>Januar-Juni 25</v>
      </c>
      <c r="I82" s="22" t="str">
        <f>VLOOKUP("&lt;SpaltenTitel_7&gt;",Uebersetzungen!$B$4:$E$315,Uebersetzungen!$B$2+1,FALSE)</f>
        <v>Veränderung 26/25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4">C84/D84-1</f>
        <v>#DIV/0!</v>
      </c>
      <c r="F84" s="80"/>
      <c r="G84" s="83"/>
      <c r="H84" s="17"/>
      <c r="I84" s="10" t="e">
        <f t="shared" ref="I84:I96" si="5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4"/>
        <v>#DIV/0!</v>
      </c>
      <c r="F85" s="80"/>
      <c r="G85" s="83"/>
      <c r="H85" s="17"/>
      <c r="I85" s="10" t="e">
        <f t="shared" si="5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4"/>
        <v>#DIV/0!</v>
      </c>
      <c r="F86" s="80"/>
      <c r="G86" s="83"/>
      <c r="H86" s="17"/>
      <c r="I86" s="10" t="e">
        <f t="shared" si="5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4"/>
        <v>#DIV/0!</v>
      </c>
      <c r="F87" s="80"/>
      <c r="G87" s="83"/>
      <c r="H87" s="17"/>
      <c r="I87" s="10" t="e">
        <f t="shared" si="5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4"/>
        <v>#DIV/0!</v>
      </c>
      <c r="F88" s="85"/>
      <c r="G88" s="87"/>
      <c r="H88" s="62"/>
      <c r="I88" s="63" t="e">
        <f t="shared" si="5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4"/>
        <v>#DIV/0!</v>
      </c>
      <c r="F89" s="80"/>
      <c r="G89" s="83"/>
      <c r="H89" s="17"/>
      <c r="I89" s="10" t="e">
        <f t="shared" si="5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4"/>
        <v>#DIV/0!</v>
      </c>
      <c r="F90" s="80"/>
      <c r="G90" s="83"/>
      <c r="H90" s="17"/>
      <c r="I90" s="10" t="e">
        <f t="shared" si="5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4"/>
        <v>#DIV/0!</v>
      </c>
      <c r="F91" s="80"/>
      <c r="G91" s="83"/>
      <c r="H91" s="17"/>
      <c r="I91" s="10" t="e">
        <f t="shared" si="5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4"/>
        <v>#DIV/0!</v>
      </c>
      <c r="F92" s="80"/>
      <c r="G92" s="83"/>
      <c r="H92" s="17"/>
      <c r="I92" s="10" t="e">
        <f t="shared" si="5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4"/>
        <v>#DIV/0!</v>
      </c>
      <c r="F93" s="80"/>
      <c r="G93" s="83"/>
      <c r="H93" s="17"/>
      <c r="I93" s="10" t="e">
        <f t="shared" si="5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4"/>
        <v>#DIV/0!</v>
      </c>
      <c r="F94" s="80"/>
      <c r="G94" s="83"/>
      <c r="H94" s="17"/>
      <c r="I94" s="33" t="e">
        <f t="shared" si="5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4"/>
        <v>#DIV/0!</v>
      </c>
      <c r="F95" s="11"/>
      <c r="G95" s="84"/>
      <c r="H95" s="18"/>
      <c r="I95" s="43" t="e">
        <f t="shared" si="5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4"/>
        <v>#DIV/0!</v>
      </c>
      <c r="F96" s="86"/>
      <c r="G96" s="79"/>
      <c r="H96" s="40"/>
      <c r="I96" s="41" t="e">
        <f t="shared" si="5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VLOOKUP("&lt;T6Aktualisierung&gt;",Uebersetzungen!$B$4:$E$315,Uebersetzungen!$B$2+1,FALSE)</f>
        <v>Letztmals aktualisiert am: 22.02.2025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VLOOKUP("&lt;T6Legende_3&gt;",Uebersetzungen!$B$4:$E$315,Uebersetzungen!$B$2+1,FALSE)</f>
        <v>Daten des Juli 2025 erscheinen am 5. September 2025.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600-000000000000}"/>
    <hyperlink ref="E76" location="Länder_Pajais_Paesi!A1" display="Länder / Pajais / Paese" xr:uid="{00000000-0004-0000-06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1" t="str">
        <f>VLOOKUP("&lt;Fachbereich&gt;",Uebersetzungen!$B$4:$E$315,Uebersetzungen!$B$2+1,FALSE)</f>
        <v>Daten &amp; Statistik</v>
      </c>
      <c r="B7" s="131"/>
      <c r="C7" s="131"/>
      <c r="D7" s="131"/>
      <c r="E7" s="95"/>
      <c r="F7" s="1"/>
    </row>
    <row r="8" spans="1:10" ht="10.5" customHeight="1" x14ac:dyDescent="0.2"/>
    <row r="9" spans="1:10" ht="18" x14ac:dyDescent="0.25">
      <c r="A9" s="2" t="str">
        <f>VLOOKUP("&lt;T5Titel1&gt;",Uebersetzungen!$B$4:$E$315,Uebersetzungen!$B$2+1,FALSE)</f>
        <v>Hotel- und Kurbetriebe: Logiernächte im Mai 2026,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VLOOKUP("&lt;T5SpaltenTitel_1&gt;",Uebersetzungen!$B$4:$E$315,Uebersetzungen!$B$2+1,FALSE)</f>
        <v>Mai 2026</v>
      </c>
      <c r="D12" s="21" t="str">
        <f>VLOOKUP("&lt;T5SpaltenTitel_2&gt;",Uebersetzungen!$B$4:$E$315,Uebersetzungen!$B$2+1,FALSE)</f>
        <v>Mai 2025</v>
      </c>
      <c r="E12" s="22" t="str">
        <f>VLOOKUP("&lt;SpaltenTitel_3&gt;",Uebersetzungen!$B$4:$E$315,Uebersetzungen!$B$2+1,FALSE)</f>
        <v>Veränderung 26/25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VLOOKUP("&lt;T5SpaltenTitel_5&gt;",Uebersetzungen!$B$4:$E$315,Uebersetzungen!$B$2+1,FALSE)</f>
        <v>Januar-Mai 26</v>
      </c>
      <c r="H12" s="22" t="str">
        <f>VLOOKUP("&lt;T5SpaltenTitel_6&gt;",Uebersetzungen!$B$4:$E$315,Uebersetzungen!$B$2+1,FALSE)</f>
        <v>Januar-Mai 25</v>
      </c>
      <c r="I12" s="22" t="str">
        <f>VLOOKUP("&lt;SpaltenTitel_7&gt;",Uebersetzungen!$B$4:$E$315,Uebersetzungen!$B$2+1,FALSE)</f>
        <v>Veränderung 26/25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/>
      <c r="D27" s="52"/>
      <c r="E27" s="53" t="e">
        <f t="shared" si="0"/>
        <v>#DIV/0!</v>
      </c>
      <c r="F27" s="72"/>
      <c r="G27" s="77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/>
      <c r="D29" s="55"/>
      <c r="E29" s="53" t="e">
        <f t="shared" si="0"/>
        <v>#DIV/0!</v>
      </c>
      <c r="F29" s="72"/>
      <c r="G29" s="77"/>
      <c r="H29" s="55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/>
      <c r="D30" s="57"/>
      <c r="E30" s="53" t="e">
        <f t="shared" si="0"/>
        <v>#DIV/0!</v>
      </c>
      <c r="F30" s="73"/>
      <c r="G30" s="78"/>
      <c r="H30" s="57"/>
      <c r="I30" s="53" t="e">
        <f t="shared" si="1"/>
        <v>#DIV/0!</v>
      </c>
      <c r="J30" s="58"/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/>
      <c r="D31" s="19"/>
      <c r="E31" s="12" t="e">
        <f t="shared" si="0"/>
        <v>#DIV/0!</v>
      </c>
      <c r="F31" s="74"/>
      <c r="G31" s="79"/>
      <c r="H31" s="19"/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VLOOKUP("&lt;T5Titel2&gt;",Uebersetzungen!$B$4:$E$315,Uebersetzungen!$B$2+1,FALSE)</f>
        <v>Hotel- und Kurbetriebe: Logiernächte im Mai 2026,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VLOOKUP("&lt;T5SpaltenTitel_1&gt;",Uebersetzungen!$B$4:$E$315,Uebersetzungen!$B$2+1,FALSE)</f>
        <v>Mai 2026</v>
      </c>
      <c r="D39" s="21" t="str">
        <f>VLOOKUP("&lt;T5SpaltenTitel_2&gt;",Uebersetzungen!$B$4:$E$315,Uebersetzungen!$B$2+1,FALSE)</f>
        <v>Mai 2025</v>
      </c>
      <c r="E39" s="22" t="str">
        <f>VLOOKUP("&lt;SpaltenTitel_3&gt;",Uebersetzungen!$B$4:$E$315,Uebersetzungen!$B$2+1,FALSE)</f>
        <v>Veränderung 26/25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VLOOKUP("&lt;T5SpaltenTitel_5&gt;",Uebersetzungen!$B$4:$E$315,Uebersetzungen!$B$2+1,FALSE)</f>
        <v>Januar-Mai 26</v>
      </c>
      <c r="H39" s="22" t="str">
        <f>VLOOKUP("&lt;T5SpaltenTitel_6&gt;",Uebersetzungen!$B$4:$E$315,Uebersetzungen!$B$2+1,FALSE)</f>
        <v>Januar-Mai 25</v>
      </c>
      <c r="I39" s="22" t="str">
        <f>VLOOKUP("&lt;SpaltenTitel_7&gt;",Uebersetzungen!$B$4:$E$315,Uebersetzungen!$B$2+1,FALSE)</f>
        <v>Veränderung 26/25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2">C41/D41-1</f>
        <v>#DIV/0!</v>
      </c>
      <c r="F41" s="80"/>
      <c r="G41" s="83"/>
      <c r="H41" s="17"/>
      <c r="I41" s="10" t="e">
        <f t="shared" ref="I41:I74" si="3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2"/>
        <v>#DIV/0!</v>
      </c>
      <c r="F42" s="80"/>
      <c r="G42" s="83"/>
      <c r="H42" s="17"/>
      <c r="I42" s="10" t="e">
        <f t="shared" si="3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2"/>
        <v>#DIV/0!</v>
      </c>
      <c r="F43" s="80"/>
      <c r="G43" s="83"/>
      <c r="H43" s="17"/>
      <c r="I43" s="10" t="e">
        <f t="shared" si="3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2"/>
        <v>#DIV/0!</v>
      </c>
      <c r="F44" s="80"/>
      <c r="G44" s="83"/>
      <c r="H44" s="17"/>
      <c r="I44" s="10" t="e">
        <f t="shared" si="3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2"/>
        <v>#DIV/0!</v>
      </c>
      <c r="F45" s="80"/>
      <c r="G45" s="83"/>
      <c r="H45" s="17"/>
      <c r="I45" s="10" t="e">
        <f t="shared" si="3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2"/>
        <v>#DIV/0!</v>
      </c>
      <c r="F46" s="80"/>
      <c r="G46" s="83"/>
      <c r="H46" s="17"/>
      <c r="I46" s="10" t="e">
        <f t="shared" si="3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2"/>
        <v>#DIV/0!</v>
      </c>
      <c r="F47" s="80"/>
      <c r="G47" s="83"/>
      <c r="H47" s="17"/>
      <c r="I47" s="10" t="e">
        <f t="shared" si="3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2"/>
        <v>#DIV/0!</v>
      </c>
      <c r="F48" s="80"/>
      <c r="G48" s="83"/>
      <c r="H48" s="17"/>
      <c r="I48" s="10" t="e">
        <f t="shared" si="3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2"/>
        <v>#DIV/0!</v>
      </c>
      <c r="F49" s="80"/>
      <c r="G49" s="83"/>
      <c r="H49" s="17"/>
      <c r="I49" s="10" t="e">
        <f t="shared" si="3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2"/>
        <v>#DIV/0!</v>
      </c>
      <c r="F50" s="80"/>
      <c r="G50" s="83"/>
      <c r="H50" s="17"/>
      <c r="I50" s="10" t="e">
        <f t="shared" si="3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2"/>
        <v>#DIV/0!</v>
      </c>
      <c r="F51" s="80"/>
      <c r="G51" s="83"/>
      <c r="H51" s="17"/>
      <c r="I51" s="10" t="e">
        <f t="shared" si="3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2"/>
        <v>#DIV/0!</v>
      </c>
      <c r="F52" s="80"/>
      <c r="G52" s="83"/>
      <c r="H52" s="17"/>
      <c r="I52" s="10" t="e">
        <f t="shared" si="3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2"/>
        <v>#DIV/0!</v>
      </c>
      <c r="F53" s="80"/>
      <c r="G53" s="83"/>
      <c r="H53" s="17"/>
      <c r="I53" s="10" t="e">
        <f t="shared" si="3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2"/>
        <v>#DIV/0!</v>
      </c>
      <c r="F54" s="80"/>
      <c r="G54" s="83"/>
      <c r="H54" s="17"/>
      <c r="I54" s="10" t="e">
        <f t="shared" si="3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2"/>
        <v>#DIV/0!</v>
      </c>
      <c r="F55" s="80"/>
      <c r="G55" s="83"/>
      <c r="H55" s="17"/>
      <c r="I55" s="10" t="e">
        <f t="shared" si="3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2"/>
        <v>#DIV/0!</v>
      </c>
      <c r="F56" s="80"/>
      <c r="G56" s="83"/>
      <c r="H56" s="17"/>
      <c r="I56" s="10" t="e">
        <f t="shared" si="3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2"/>
        <v>#DIV/0!</v>
      </c>
      <c r="F57" s="80"/>
      <c r="G57" s="83"/>
      <c r="H57" s="17"/>
      <c r="I57" s="10" t="e">
        <f t="shared" si="3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2"/>
        <v>#DIV/0!</v>
      </c>
      <c r="F58" s="80"/>
      <c r="G58" s="83"/>
      <c r="H58" s="17"/>
      <c r="I58" s="10" t="e">
        <f t="shared" si="3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2"/>
        <v>#DIV/0!</v>
      </c>
      <c r="F59" s="80"/>
      <c r="G59" s="83"/>
      <c r="H59" s="17"/>
      <c r="I59" s="10" t="e">
        <f t="shared" si="3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2"/>
        <v>#DIV/0!</v>
      </c>
      <c r="F60" s="80"/>
      <c r="G60" s="83"/>
      <c r="H60" s="17"/>
      <c r="I60" s="10" t="e">
        <f t="shared" si="3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2"/>
        <v>#DIV/0!</v>
      </c>
      <c r="F61" s="80"/>
      <c r="G61" s="83"/>
      <c r="H61" s="17"/>
      <c r="I61" s="10" t="e">
        <f t="shared" si="3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2"/>
        <v>#DIV/0!</v>
      </c>
      <c r="F62" s="80"/>
      <c r="G62" s="83"/>
      <c r="H62" s="17"/>
      <c r="I62" s="10" t="e">
        <f t="shared" si="3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2"/>
        <v>#DIV/0!</v>
      </c>
      <c r="F63" s="80"/>
      <c r="G63" s="83"/>
      <c r="H63" s="17"/>
      <c r="I63" s="10" t="e">
        <f t="shared" si="3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2"/>
        <v>#DIV/0!</v>
      </c>
      <c r="F66" s="80"/>
      <c r="G66" s="83"/>
      <c r="H66" s="17"/>
      <c r="I66" s="10" t="e">
        <f t="shared" si="3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2"/>
        <v>#DIV/0!</v>
      </c>
      <c r="F67" s="80"/>
      <c r="G67" s="83"/>
      <c r="H67" s="17"/>
      <c r="I67" s="10" t="e">
        <f t="shared" si="3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2"/>
        <v>#DIV/0!</v>
      </c>
      <c r="F68" s="80"/>
      <c r="G68" s="83"/>
      <c r="H68" s="17"/>
      <c r="I68" s="10" t="e">
        <f t="shared" si="3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2"/>
        <v>#DIV/0!</v>
      </c>
      <c r="F69" s="80"/>
      <c r="G69" s="83"/>
      <c r="H69" s="17"/>
      <c r="I69" s="10" t="e">
        <f t="shared" si="3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2"/>
        <v>#DIV/0!</v>
      </c>
      <c r="F70" s="80"/>
      <c r="G70" s="83"/>
      <c r="H70" s="17"/>
      <c r="I70" s="10" t="e">
        <f t="shared" si="3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2"/>
        <v>#DIV/0!</v>
      </c>
      <c r="F71" s="80"/>
      <c r="G71" s="83"/>
      <c r="H71" s="17"/>
      <c r="I71" s="10" t="e">
        <f t="shared" si="3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2"/>
        <v>#DIV/0!</v>
      </c>
      <c r="F72" s="80"/>
      <c r="G72" s="83"/>
      <c r="H72" s="17"/>
      <c r="I72" s="10" t="e">
        <f t="shared" si="3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2"/>
        <v>#DIV/0!</v>
      </c>
      <c r="F73" s="81"/>
      <c r="G73" s="84"/>
      <c r="H73" s="18"/>
      <c r="I73" s="11" t="e">
        <f t="shared" si="3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2"/>
        <v>#DIV/0!</v>
      </c>
      <c r="F74" s="82">
        <f>F31</f>
        <v>0</v>
      </c>
      <c r="G74" s="79"/>
      <c r="H74" s="40"/>
      <c r="I74" s="65" t="e">
        <f t="shared" si="3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VLOOKUP("&lt;T5Titel3&gt;",Uebersetzungen!$B$4:$E$315,Uebersetzungen!$B$2+1,FALSE)</f>
        <v>Hotel- und Kurbetriebe: Logiernächte im Mai 2026,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VLOOKUP("&lt;T5SpaltenTitel_1&gt;",Uebersetzungen!$B$4:$E$315,Uebersetzungen!$B$2+1,FALSE)</f>
        <v>Mai 2026</v>
      </c>
      <c r="D82" s="21" t="str">
        <f>VLOOKUP("&lt;T5SpaltenTitel_2&gt;",Uebersetzungen!$B$4:$E$315,Uebersetzungen!$B$2+1,FALSE)</f>
        <v>Mai 2025</v>
      </c>
      <c r="E82" s="22" t="str">
        <f>VLOOKUP("&lt;SpaltenTitel_3&gt;",Uebersetzungen!$B$4:$E$315,Uebersetzungen!$B$2+1,FALSE)</f>
        <v>Veränderung 26/25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VLOOKUP("&lt;T5SpaltenTitel_5&gt;",Uebersetzungen!$B$4:$E$315,Uebersetzungen!$B$2+1,FALSE)</f>
        <v>Januar-Mai 26</v>
      </c>
      <c r="H82" s="22" t="str">
        <f>VLOOKUP("&lt;T5SpaltenTitel_6&gt;",Uebersetzungen!$B$4:$E$315,Uebersetzungen!$B$2+1,FALSE)</f>
        <v>Januar-Mai 25</v>
      </c>
      <c r="I82" s="22" t="str">
        <f>VLOOKUP("&lt;SpaltenTitel_7&gt;",Uebersetzungen!$B$4:$E$315,Uebersetzungen!$B$2+1,FALSE)</f>
        <v>Veränderung 26/25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4">C84/D84-1</f>
        <v>#DIV/0!</v>
      </c>
      <c r="F84" s="80"/>
      <c r="G84" s="83"/>
      <c r="H84" s="17"/>
      <c r="I84" s="10" t="e">
        <f t="shared" ref="I84:I96" si="5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4"/>
        <v>#DIV/0!</v>
      </c>
      <c r="F85" s="80"/>
      <c r="G85" s="83"/>
      <c r="H85" s="17"/>
      <c r="I85" s="10" t="e">
        <f t="shared" si="5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4"/>
        <v>#DIV/0!</v>
      </c>
      <c r="F86" s="80"/>
      <c r="G86" s="83"/>
      <c r="H86" s="17"/>
      <c r="I86" s="10" t="e">
        <f t="shared" si="5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4"/>
        <v>#DIV/0!</v>
      </c>
      <c r="F87" s="80"/>
      <c r="G87" s="83"/>
      <c r="H87" s="17"/>
      <c r="I87" s="10" t="e">
        <f t="shared" si="5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4"/>
        <v>#DIV/0!</v>
      </c>
      <c r="F88" s="85"/>
      <c r="G88" s="87"/>
      <c r="H88" s="62"/>
      <c r="I88" s="63" t="e">
        <f t="shared" si="5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4"/>
        <v>#DIV/0!</v>
      </c>
      <c r="F89" s="80"/>
      <c r="G89" s="83"/>
      <c r="H89" s="17"/>
      <c r="I89" s="10" t="e">
        <f t="shared" si="5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4"/>
        <v>#DIV/0!</v>
      </c>
      <c r="F90" s="80"/>
      <c r="G90" s="83"/>
      <c r="H90" s="17"/>
      <c r="I90" s="10" t="e">
        <f t="shared" si="5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4"/>
        <v>#DIV/0!</v>
      </c>
      <c r="F91" s="80"/>
      <c r="G91" s="83"/>
      <c r="H91" s="17"/>
      <c r="I91" s="10" t="e">
        <f t="shared" si="5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4"/>
        <v>#DIV/0!</v>
      </c>
      <c r="F92" s="80"/>
      <c r="G92" s="83"/>
      <c r="H92" s="17"/>
      <c r="I92" s="10" t="e">
        <f t="shared" si="5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4"/>
        <v>#DIV/0!</v>
      </c>
      <c r="F93" s="80"/>
      <c r="G93" s="83"/>
      <c r="H93" s="17"/>
      <c r="I93" s="10" t="e">
        <f t="shared" si="5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4"/>
        <v>#DIV/0!</v>
      </c>
      <c r="F94" s="80"/>
      <c r="G94" s="83"/>
      <c r="H94" s="17"/>
      <c r="I94" s="33" t="e">
        <f t="shared" si="5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4"/>
        <v>#DIV/0!</v>
      </c>
      <c r="F95" s="11"/>
      <c r="G95" s="84"/>
      <c r="H95" s="18"/>
      <c r="I95" s="43" t="e">
        <f t="shared" si="5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4"/>
        <v>#DIV/0!</v>
      </c>
      <c r="F96" s="86"/>
      <c r="G96" s="79"/>
      <c r="H96" s="40"/>
      <c r="I96" s="41" t="e">
        <f t="shared" si="5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VLOOKUP("&lt;T5Aktualisierung&gt;",Uebersetzungen!$B$4:$E$315,Uebersetzungen!$B$2+1,FALSE)</f>
        <v>Letztmals aktualisiert am: 22.02.2025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VLOOKUP("&lt;T5Legende_3&gt;",Uebersetzungen!$B$4:$E$315,Uebersetzungen!$B$2+1,FALSE)</f>
        <v>Daten des Juni 2025 erscheinen am 5. August 2025.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700-000000000000}"/>
    <hyperlink ref="E76" location="Länder_Pajais_Paesi!A1" display="Länder / Pajais / Paese" xr:uid="{00000000-0004-0000-07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3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1" t="str">
        <f>VLOOKUP("&lt;Fachbereich&gt;",Uebersetzungen!$B$4:$E$315,Uebersetzungen!$B$2+1,FALSE)</f>
        <v>Daten &amp; Statistik</v>
      </c>
      <c r="B7" s="131"/>
      <c r="C7" s="131"/>
      <c r="D7" s="131"/>
      <c r="E7" s="95"/>
      <c r="F7" s="1"/>
    </row>
    <row r="8" spans="1:10" ht="10.5" customHeight="1" x14ac:dyDescent="0.2"/>
    <row r="9" spans="1:10" ht="18" x14ac:dyDescent="0.25">
      <c r="A9" s="2" t="str">
        <f>VLOOKUP("&lt;T4Titel1&gt;",Uebersetzungen!$B$4:$E$315,Uebersetzungen!$B$2+1,FALSE)</f>
        <v>Hotel- und Kurbetriebe: Logiernächte im April 2026,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VLOOKUP("&lt;T4SpaltenTitel_1&gt;",Uebersetzungen!$B$4:$E$315,Uebersetzungen!$B$2+1,FALSE)</f>
        <v>April 2026</v>
      </c>
      <c r="D12" s="21" t="str">
        <f>VLOOKUP("&lt;T4SpaltenTitel_2&gt;",Uebersetzungen!$B$4:$E$315,Uebersetzungen!$B$2+1,FALSE)</f>
        <v>April 2025</v>
      </c>
      <c r="E12" s="22" t="str">
        <f>VLOOKUP("&lt;SpaltenTitel_3&gt;",Uebersetzungen!$B$4:$E$315,Uebersetzungen!$B$2+1,FALSE)</f>
        <v>Veränderung 26/25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VLOOKUP("&lt;T4SpaltenTitel_5&gt;",Uebersetzungen!$B$4:$E$315,Uebersetzungen!$B$2+1,FALSE)</f>
        <v>Januar-April 26</v>
      </c>
      <c r="H12" s="22" t="str">
        <f>VLOOKUP("&lt;T4SpaltenTitel_6&gt;",Uebersetzungen!$B$4:$E$315,Uebersetzungen!$B$2+1,FALSE)</f>
        <v>Januar-April 25</v>
      </c>
      <c r="I12" s="22" t="str">
        <f>VLOOKUP("&lt;SpaltenTitel_7&gt;",Uebersetzungen!$B$4:$E$315,Uebersetzungen!$B$2+1,FALSE)</f>
        <v>Veränderung 26/25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/>
      <c r="D27" s="52"/>
      <c r="E27" s="53" t="e">
        <f t="shared" si="0"/>
        <v>#DIV/0!</v>
      </c>
      <c r="F27" s="72"/>
      <c r="G27" s="77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/>
      <c r="D29" s="55"/>
      <c r="E29" s="53" t="e">
        <f t="shared" si="0"/>
        <v>#DIV/0!</v>
      </c>
      <c r="F29" s="72"/>
      <c r="G29" s="77"/>
      <c r="H29" s="55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/>
      <c r="D30" s="57"/>
      <c r="E30" s="53" t="e">
        <f t="shared" si="0"/>
        <v>#DIV/0!</v>
      </c>
      <c r="F30" s="73"/>
      <c r="G30" s="78"/>
      <c r="H30" s="57"/>
      <c r="I30" s="53" t="e">
        <f t="shared" si="1"/>
        <v>#DIV/0!</v>
      </c>
      <c r="J30" s="58"/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/>
      <c r="D31" s="19"/>
      <c r="E31" s="12" t="e">
        <f t="shared" si="0"/>
        <v>#DIV/0!</v>
      </c>
      <c r="F31" s="74"/>
      <c r="G31" s="79"/>
      <c r="H31" s="19"/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VLOOKUP("&lt;T4Titel2&gt;",Uebersetzungen!$B$4:$E$315,Uebersetzungen!$B$2+1,FALSE)</f>
        <v>Hotel- und Kurbetriebe: Logiernächte im April 2026,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VLOOKUP("&lt;T4SpaltenTitel_1&gt;",Uebersetzungen!$B$4:$E$315,Uebersetzungen!$B$2+1,FALSE)</f>
        <v>April 2026</v>
      </c>
      <c r="D39" s="21" t="str">
        <f>VLOOKUP("&lt;T4SpaltenTitel_2&gt;",Uebersetzungen!$B$4:$E$315,Uebersetzungen!$B$2+1,FALSE)</f>
        <v>April 2025</v>
      </c>
      <c r="E39" s="22" t="str">
        <f>VLOOKUP("&lt;SpaltenTitel_3&gt;",Uebersetzungen!$B$4:$E$315,Uebersetzungen!$B$2+1,FALSE)</f>
        <v>Veränderung 26/25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VLOOKUP("&lt;T4SpaltenTitel_5&gt;",Uebersetzungen!$B$4:$E$315,Uebersetzungen!$B$2+1,FALSE)</f>
        <v>Januar-April 26</v>
      </c>
      <c r="H39" s="22" t="str">
        <f>VLOOKUP("&lt;T4SpaltenTitel_6&gt;",Uebersetzungen!$B$4:$E$315,Uebersetzungen!$B$2+1,FALSE)</f>
        <v>Januar-April 25</v>
      </c>
      <c r="I39" s="22" t="str">
        <f>VLOOKUP("&lt;SpaltenTitel_7&gt;",Uebersetzungen!$B$4:$E$315,Uebersetzungen!$B$2+1,FALSE)</f>
        <v>Veränderung 26/25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2">C41/D41-1</f>
        <v>#DIV/0!</v>
      </c>
      <c r="F41" s="80"/>
      <c r="G41" s="83"/>
      <c r="H41" s="17"/>
      <c r="I41" s="10" t="e">
        <f t="shared" ref="I41:I74" si="3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2"/>
        <v>#DIV/0!</v>
      </c>
      <c r="F42" s="80"/>
      <c r="G42" s="83"/>
      <c r="H42" s="17"/>
      <c r="I42" s="10" t="e">
        <f t="shared" si="3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2"/>
        <v>#DIV/0!</v>
      </c>
      <c r="F43" s="80"/>
      <c r="G43" s="83"/>
      <c r="H43" s="17"/>
      <c r="I43" s="10" t="e">
        <f t="shared" si="3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2"/>
        <v>#DIV/0!</v>
      </c>
      <c r="F44" s="80"/>
      <c r="G44" s="83"/>
      <c r="H44" s="17"/>
      <c r="I44" s="10" t="e">
        <f t="shared" si="3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2"/>
        <v>#DIV/0!</v>
      </c>
      <c r="F45" s="80"/>
      <c r="G45" s="83"/>
      <c r="H45" s="17"/>
      <c r="I45" s="10" t="e">
        <f t="shared" si="3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2"/>
        <v>#DIV/0!</v>
      </c>
      <c r="F46" s="80"/>
      <c r="G46" s="83"/>
      <c r="H46" s="17"/>
      <c r="I46" s="10" t="e">
        <f t="shared" si="3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2"/>
        <v>#DIV/0!</v>
      </c>
      <c r="F47" s="80"/>
      <c r="G47" s="83"/>
      <c r="H47" s="17"/>
      <c r="I47" s="10" t="e">
        <f t="shared" si="3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2"/>
        <v>#DIV/0!</v>
      </c>
      <c r="F48" s="80"/>
      <c r="G48" s="83"/>
      <c r="H48" s="17"/>
      <c r="I48" s="10" t="e">
        <f t="shared" si="3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2"/>
        <v>#DIV/0!</v>
      </c>
      <c r="F49" s="80"/>
      <c r="G49" s="83"/>
      <c r="H49" s="17"/>
      <c r="I49" s="10" t="e">
        <f t="shared" si="3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2"/>
        <v>#DIV/0!</v>
      </c>
      <c r="F50" s="80"/>
      <c r="G50" s="83"/>
      <c r="H50" s="17"/>
      <c r="I50" s="10" t="e">
        <f t="shared" si="3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2"/>
        <v>#DIV/0!</v>
      </c>
      <c r="F51" s="80"/>
      <c r="G51" s="83"/>
      <c r="H51" s="17"/>
      <c r="I51" s="10" t="e">
        <f t="shared" si="3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2"/>
        <v>#DIV/0!</v>
      </c>
      <c r="F52" s="80"/>
      <c r="G52" s="83"/>
      <c r="H52" s="17"/>
      <c r="I52" s="10" t="e">
        <f t="shared" si="3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2"/>
        <v>#DIV/0!</v>
      </c>
      <c r="F53" s="80"/>
      <c r="G53" s="83"/>
      <c r="H53" s="17"/>
      <c r="I53" s="10" t="e">
        <f t="shared" si="3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2"/>
        <v>#DIV/0!</v>
      </c>
      <c r="F54" s="80"/>
      <c r="G54" s="83"/>
      <c r="H54" s="17"/>
      <c r="I54" s="10" t="e">
        <f t="shared" si="3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2"/>
        <v>#DIV/0!</v>
      </c>
      <c r="F55" s="80"/>
      <c r="G55" s="83"/>
      <c r="H55" s="17"/>
      <c r="I55" s="10" t="e">
        <f t="shared" si="3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2"/>
        <v>#DIV/0!</v>
      </c>
      <c r="F56" s="80"/>
      <c r="G56" s="83"/>
      <c r="H56" s="17"/>
      <c r="I56" s="10" t="e">
        <f t="shared" si="3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2"/>
        <v>#DIV/0!</v>
      </c>
      <c r="F57" s="80"/>
      <c r="G57" s="83"/>
      <c r="H57" s="17"/>
      <c r="I57" s="10" t="e">
        <f t="shared" si="3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2"/>
        <v>#DIV/0!</v>
      </c>
      <c r="F58" s="80"/>
      <c r="G58" s="83"/>
      <c r="H58" s="17"/>
      <c r="I58" s="10" t="e">
        <f t="shared" si="3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2"/>
        <v>#DIV/0!</v>
      </c>
      <c r="F59" s="80"/>
      <c r="G59" s="83"/>
      <c r="H59" s="17"/>
      <c r="I59" s="10" t="e">
        <f t="shared" si="3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2"/>
        <v>#DIV/0!</v>
      </c>
      <c r="F60" s="80"/>
      <c r="G60" s="83"/>
      <c r="H60" s="17"/>
      <c r="I60" s="10" t="e">
        <f t="shared" si="3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2"/>
        <v>#DIV/0!</v>
      </c>
      <c r="F61" s="80"/>
      <c r="G61" s="83"/>
      <c r="H61" s="17"/>
      <c r="I61" s="10" t="e">
        <f t="shared" si="3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2"/>
        <v>#DIV/0!</v>
      </c>
      <c r="F62" s="80"/>
      <c r="G62" s="83"/>
      <c r="H62" s="17"/>
      <c r="I62" s="10" t="e">
        <f t="shared" si="3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2"/>
        <v>#DIV/0!</v>
      </c>
      <c r="F63" s="80"/>
      <c r="G63" s="83"/>
      <c r="H63" s="17"/>
      <c r="I63" s="10" t="e">
        <f t="shared" si="3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2"/>
        <v>#DIV/0!</v>
      </c>
      <c r="F66" s="80"/>
      <c r="G66" s="83"/>
      <c r="H66" s="17"/>
      <c r="I66" s="10" t="e">
        <f t="shared" si="3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2"/>
        <v>#DIV/0!</v>
      </c>
      <c r="F67" s="80"/>
      <c r="G67" s="83"/>
      <c r="H67" s="17"/>
      <c r="I67" s="10" t="e">
        <f t="shared" si="3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2"/>
        <v>#DIV/0!</v>
      </c>
      <c r="F68" s="80"/>
      <c r="G68" s="83"/>
      <c r="H68" s="17"/>
      <c r="I68" s="10" t="e">
        <f t="shared" si="3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2"/>
        <v>#DIV/0!</v>
      </c>
      <c r="F69" s="80"/>
      <c r="G69" s="83"/>
      <c r="H69" s="17"/>
      <c r="I69" s="10" t="e">
        <f t="shared" si="3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2"/>
        <v>#DIV/0!</v>
      </c>
      <c r="F70" s="80"/>
      <c r="G70" s="83"/>
      <c r="H70" s="17"/>
      <c r="I70" s="10" t="e">
        <f t="shared" si="3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2"/>
        <v>#DIV/0!</v>
      </c>
      <c r="F71" s="80"/>
      <c r="G71" s="83"/>
      <c r="H71" s="17"/>
      <c r="I71" s="10" t="e">
        <f t="shared" si="3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2"/>
        <v>#DIV/0!</v>
      </c>
      <c r="F72" s="80"/>
      <c r="G72" s="83"/>
      <c r="H72" s="17"/>
      <c r="I72" s="10" t="e">
        <f t="shared" si="3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2"/>
        <v>#DIV/0!</v>
      </c>
      <c r="F73" s="81"/>
      <c r="G73" s="84"/>
      <c r="H73" s="18"/>
      <c r="I73" s="11" t="e">
        <f t="shared" si="3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2"/>
        <v>#DIV/0!</v>
      </c>
      <c r="F74" s="82">
        <f>F31</f>
        <v>0</v>
      </c>
      <c r="G74" s="79"/>
      <c r="H74" s="40"/>
      <c r="I74" s="65" t="e">
        <f t="shared" si="3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VLOOKUP("&lt;T4Titel3&gt;",Uebersetzungen!$B$4:$E$315,Uebersetzungen!$B$2+1,FALSE)</f>
        <v>Hotel- und Kurbetriebe: Logiernächte im April 2026,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VLOOKUP("&lt;T4SpaltenTitel_1&gt;",Uebersetzungen!$B$4:$E$315,Uebersetzungen!$B$2+1,FALSE)</f>
        <v>April 2026</v>
      </c>
      <c r="D82" s="21" t="str">
        <f>VLOOKUP("&lt;T4SpaltenTitel_2&gt;",Uebersetzungen!$B$4:$E$315,Uebersetzungen!$B$2+1,FALSE)</f>
        <v>April 2025</v>
      </c>
      <c r="E82" s="22" t="str">
        <f>VLOOKUP("&lt;SpaltenTitel_3&gt;",Uebersetzungen!$B$4:$E$315,Uebersetzungen!$B$2+1,FALSE)</f>
        <v>Veränderung 26/25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VLOOKUP("&lt;T4SpaltenTitel_5&gt;",Uebersetzungen!$B$4:$E$315,Uebersetzungen!$B$2+1,FALSE)</f>
        <v>Januar-April 26</v>
      </c>
      <c r="H82" s="22" t="str">
        <f>VLOOKUP("&lt;T4SpaltenTitel_6&gt;",Uebersetzungen!$B$4:$E$315,Uebersetzungen!$B$2+1,FALSE)</f>
        <v>Januar-April 25</v>
      </c>
      <c r="I82" s="22" t="str">
        <f>VLOOKUP("&lt;SpaltenTitel_7&gt;",Uebersetzungen!$B$4:$E$315,Uebersetzungen!$B$2+1,FALSE)</f>
        <v>Veränderung 26/25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4">C84/D84-1</f>
        <v>#DIV/0!</v>
      </c>
      <c r="F84" s="80"/>
      <c r="G84" s="83"/>
      <c r="H84" s="17"/>
      <c r="I84" s="10" t="e">
        <f t="shared" ref="I84:I96" si="5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4"/>
        <v>#DIV/0!</v>
      </c>
      <c r="F85" s="80"/>
      <c r="G85" s="83"/>
      <c r="H85" s="17"/>
      <c r="I85" s="10" t="e">
        <f t="shared" si="5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4"/>
        <v>#DIV/0!</v>
      </c>
      <c r="F86" s="80"/>
      <c r="G86" s="83"/>
      <c r="H86" s="17"/>
      <c r="I86" s="10" t="e">
        <f t="shared" si="5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4"/>
        <v>#DIV/0!</v>
      </c>
      <c r="F87" s="80"/>
      <c r="G87" s="83"/>
      <c r="H87" s="17"/>
      <c r="I87" s="10" t="e">
        <f t="shared" si="5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4"/>
        <v>#DIV/0!</v>
      </c>
      <c r="F88" s="85"/>
      <c r="G88" s="87"/>
      <c r="H88" s="62"/>
      <c r="I88" s="63" t="e">
        <f t="shared" si="5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4"/>
        <v>#DIV/0!</v>
      </c>
      <c r="F89" s="80"/>
      <c r="G89" s="83"/>
      <c r="H89" s="17"/>
      <c r="I89" s="10" t="e">
        <f t="shared" si="5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4"/>
        <v>#DIV/0!</v>
      </c>
      <c r="F90" s="80"/>
      <c r="G90" s="83"/>
      <c r="H90" s="17"/>
      <c r="I90" s="10" t="e">
        <f t="shared" si="5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4"/>
        <v>#DIV/0!</v>
      </c>
      <c r="F91" s="80"/>
      <c r="G91" s="83"/>
      <c r="H91" s="17"/>
      <c r="I91" s="10" t="e">
        <f t="shared" si="5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4"/>
        <v>#DIV/0!</v>
      </c>
      <c r="F92" s="80"/>
      <c r="G92" s="83"/>
      <c r="H92" s="17"/>
      <c r="I92" s="10" t="e">
        <f t="shared" si="5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4"/>
        <v>#DIV/0!</v>
      </c>
      <c r="F93" s="80"/>
      <c r="G93" s="83"/>
      <c r="H93" s="17"/>
      <c r="I93" s="10" t="e">
        <f t="shared" si="5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4"/>
        <v>#DIV/0!</v>
      </c>
      <c r="F94" s="80"/>
      <c r="G94" s="83"/>
      <c r="H94" s="17"/>
      <c r="I94" s="33" t="e">
        <f t="shared" si="5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4"/>
        <v>#DIV/0!</v>
      </c>
      <c r="F95" s="11"/>
      <c r="G95" s="84"/>
      <c r="H95" s="18"/>
      <c r="I95" s="43" t="e">
        <f t="shared" si="5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4"/>
        <v>#DIV/0!</v>
      </c>
      <c r="F96" s="86"/>
      <c r="G96" s="79"/>
      <c r="H96" s="40"/>
      <c r="I96" s="41" t="e">
        <f t="shared" si="5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VLOOKUP("&lt;T4Aktualisierung&gt;",Uebersetzungen!$B$4:$E$315,Uebersetzungen!$B$2+1,FALSE)</f>
        <v>Letztmals aktualisiert am: 22.02.2025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VLOOKUP("&lt;T4Legende_3&gt;",Uebersetzungen!$B$4:$E$315,Uebersetzungen!$B$2+1,FALSE)</f>
        <v>Daten des Mai 2025 erscheinen am 6. Juli 2025.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800-000000000000}"/>
    <hyperlink ref="E76" location="Länder_Pajais_Paesi!A1" display="Länder / Pajais / Paese" xr:uid="{00000000-0004-0000-08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C7E3B5B685244E9F316DC5AF52F3F3" ma:contentTypeVersion="6" ma:contentTypeDescription="Ein neues Dokument erstellen." ma:contentTypeScope="" ma:versionID="5922a524ea719d7172c03bd4767f06ed">
  <xsd:schema xmlns:xsd="http://www.w3.org/2001/XMLSchema" xmlns:xs="http://www.w3.org/2001/XMLSchema" xmlns:p="http://schemas.microsoft.com/office/2006/metadata/properties" xmlns:ns1="http://schemas.microsoft.com/sharepoint/v3" xmlns:ns2="a85bdc46-611b-4a7e-936f-e8248c6e1bca" targetNamespace="http://schemas.microsoft.com/office/2006/metadata/properties" ma:root="true" ma:fieldsID="2f5bd5d7e51ad7ad358f4884b85fdf5e" ns1:_="" ns2:_="">
    <xsd:import namespace="http://schemas.microsoft.com/sharepoint/v3"/>
    <xsd:import namespace="a85bdc46-611b-4a7e-936f-e8248c6e1bc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bdc46-611b-4a7e-936f-e8248c6e1bca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a85bdc46-611b-4a7e-936f-e8248c6e1bca">1001</Benutzerdefinierte_x0020_ID>
    <Kategorie xmlns="a85bdc46-611b-4a7e-936f-e8248c6e1bca">Beherbergungsstatistik</Kategorie>
    <Titel_DE xmlns="a85bdc46-611b-4a7e-936f-e8248c6e1bca">Beherbergungsstatistik Graubünden, Monatsdaten 2026</Titel_DE>
    <PublishingExpirationDate xmlns="http://schemas.microsoft.com/sharepoint/v3" xsi:nil="true"/>
    <PublishingStartDate xmlns="http://schemas.microsoft.com/sharepoint/v3" xsi:nil="true"/>
    <Titel_IT xmlns="a85bdc46-611b-4a7e-936f-e8248c6e1bca">Statistica della ricettività turistica nei Grigioni, dati mensili 2026</Titel_IT>
    <Titel_RM xmlns="a85bdc46-611b-4a7e-936f-e8248c6e1bca">Statistica dals alloschaments dal Grischun, datas mensilas dal 2026</Titel_RM>
  </documentManagement>
</p:properties>
</file>

<file path=customXml/itemProps1.xml><?xml version="1.0" encoding="utf-8"?>
<ds:datastoreItem xmlns:ds="http://schemas.openxmlformats.org/officeDocument/2006/customXml" ds:itemID="{2B9FD19E-D9EE-4B37-8304-E58DFDE50511}"/>
</file>

<file path=customXml/itemProps2.xml><?xml version="1.0" encoding="utf-8"?>
<ds:datastoreItem xmlns:ds="http://schemas.openxmlformats.org/officeDocument/2006/customXml" ds:itemID="{12C82F8C-5193-42AC-A0A9-DFCDF1DB2228}"/>
</file>

<file path=customXml/itemProps3.xml><?xml version="1.0" encoding="utf-8"?>
<ds:datastoreItem xmlns:ds="http://schemas.openxmlformats.org/officeDocument/2006/customXml" ds:itemID="{943ECBC3-C533-452E-8C85-39F23D95CA9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13</vt:i4>
      </vt:variant>
    </vt:vector>
  </HeadingPairs>
  <TitlesOfParts>
    <vt:vector size="27" baseType="lpstr">
      <vt:lpstr>Dezember</vt:lpstr>
      <vt:lpstr>November</vt:lpstr>
      <vt:lpstr>Oktober</vt:lpstr>
      <vt:lpstr>September</vt:lpstr>
      <vt:lpstr>August</vt:lpstr>
      <vt:lpstr>Juli</vt:lpstr>
      <vt:lpstr>Juni</vt:lpstr>
      <vt:lpstr>Mai</vt:lpstr>
      <vt:lpstr>April</vt:lpstr>
      <vt:lpstr>März</vt:lpstr>
      <vt:lpstr>Februar</vt:lpstr>
      <vt:lpstr>Januar</vt:lpstr>
      <vt:lpstr>Länder_Pajais_Paesi</vt:lpstr>
      <vt:lpstr>Uebersetzungen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Länder_Pajais_Paesi!Druckbereich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Beherbergungsstatistik Graubünden Monatsauswertungen</dc:title>
  <dc:creator>Luzius Stricker</dc:creator>
  <cp:lastModifiedBy>Stricker Luzius (AWT GR)</cp:lastModifiedBy>
  <cp:lastPrinted>2025-01-30T06:15:38Z</cp:lastPrinted>
  <dcterms:created xsi:type="dcterms:W3CDTF">2012-02-14T12:10:20Z</dcterms:created>
  <dcterms:modified xsi:type="dcterms:W3CDTF">2026-03-05T14:42:24Z</dcterms:modified>
  <cp:category>Beherbergungsstatistik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2026-03-02T09:45:31Z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e28b1976-75ae-42e1-823e-e801937ac037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0x01010061C7E3B5B685244E9F316DC5AF52F3F3</vt:lpwstr>
  </property>
</Properties>
</file>