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core.xml" ContentType="application/vnd.openxmlformats-package.core-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36.xml" ContentType="application/vnd.ms-excel.controlproperties+xml"/>
  <Override PartName="/xl/ctrlProps/ctrlProp3.xml" ContentType="application/vnd.ms-excel.controlproperties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33.xml" ContentType="application/vnd.ms-excel.controlproperties+xml"/>
  <Override PartName="/xl/ctrlProps/ctrlProp13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22.xml" ContentType="application/vnd.ms-excel.controlproperties+xml"/>
  <Override PartName="/xl/ctrlProps/ctrlProp19.xml" ContentType="application/vnd.ms-excel.controlproperties+xml"/>
  <Override PartName="/xl/ctrlProps/ctrlProp12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0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Monatsdaten\Monatsauswertungen 2024\"/>
    </mc:Choice>
  </mc:AlternateContent>
  <workbookProtection lockStructure="1"/>
  <bookViews>
    <workbookView xWindow="14505" yWindow="-15" windowWidth="14310" windowHeight="14700" firstSheet="10" activeTab="10"/>
  </bookViews>
  <sheets>
    <sheet name="Dezember 2024" sheetId="18" state="hidden" r:id="rId1"/>
    <sheet name="November 2024" sheetId="17" state="hidden" r:id="rId2"/>
    <sheet name="Oktober 2024" sheetId="16" state="hidden" r:id="rId3"/>
    <sheet name="September 2024" sheetId="15" state="hidden" r:id="rId4"/>
    <sheet name="August 2024" sheetId="14" state="hidden" r:id="rId5"/>
    <sheet name="Juli 2024" sheetId="13" state="hidden" r:id="rId6"/>
    <sheet name="Juni 2024" sheetId="12" state="hidden" r:id="rId7"/>
    <sheet name="Mai 2024" sheetId="11" state="hidden" r:id="rId8"/>
    <sheet name="April 2024" sheetId="10" state="hidden" r:id="rId9"/>
    <sheet name="März 2024" sheetId="9" state="hidden" r:id="rId10"/>
    <sheet name="Februar 2024" sheetId="7" r:id="rId11"/>
    <sheet name="Januar 2024" sheetId="6" r:id="rId12"/>
    <sheet name="Uebersetzungen" sheetId="5" state="hidden" r:id="rId13"/>
  </sheets>
  <definedNames>
    <definedName name="_xlnm.Print_Area" localSheetId="8">'April 2024'!$A$1:$J$88</definedName>
    <definedName name="_xlnm.Print_Area" localSheetId="4">'August 2024'!$A$1:$J$88</definedName>
    <definedName name="_xlnm.Print_Area" localSheetId="0">'Dezember 2024'!$A$1:$J$88</definedName>
    <definedName name="_xlnm.Print_Area" localSheetId="10">'Februar 2024'!$A$1:$J$88</definedName>
    <definedName name="_xlnm.Print_Area" localSheetId="11">'Januar 2024'!$A$1:$J$88</definedName>
    <definedName name="_xlnm.Print_Area" localSheetId="5">'Juli 2024'!$A$1:$J$88</definedName>
    <definedName name="_xlnm.Print_Area" localSheetId="6">'Juni 2024'!$A$1:$J$88</definedName>
    <definedName name="_xlnm.Print_Area" localSheetId="7">'Mai 2024'!$A$1:$J$88</definedName>
    <definedName name="_xlnm.Print_Area" localSheetId="9">'März 2024'!$A$1:$J$88</definedName>
    <definedName name="_xlnm.Print_Area" localSheetId="1">'November 2024'!$A$1:$J$88</definedName>
    <definedName name="_xlnm.Print_Area" localSheetId="2">'Oktober 2024'!$A$1:$J$88</definedName>
    <definedName name="_xlnm.Print_Area" localSheetId="3">'September 2024'!$A$1:$J$88</definedName>
  </definedNames>
  <calcPr calcId="162913"/>
</workbook>
</file>

<file path=xl/calcChain.xml><?xml version="1.0" encoding="utf-8"?>
<calcChain xmlns="http://schemas.openxmlformats.org/spreadsheetml/2006/main">
  <c r="A67" i="6" l="1"/>
  <c r="A40" i="6"/>
  <c r="A10" i="6"/>
  <c r="A67" i="7"/>
  <c r="A40" i="7"/>
  <c r="A10" i="7"/>
  <c r="A67" i="9"/>
  <c r="A40" i="9"/>
  <c r="A10" i="9"/>
  <c r="A67" i="10"/>
  <c r="A40" i="10"/>
  <c r="A10" i="10"/>
  <c r="A67" i="11"/>
  <c r="A40" i="11"/>
  <c r="A10" i="11"/>
  <c r="A67" i="12"/>
  <c r="A40" i="12"/>
  <c r="A10" i="12"/>
  <c r="A67" i="13"/>
  <c r="A40" i="13"/>
  <c r="A10" i="13"/>
  <c r="A67" i="14"/>
  <c r="A40" i="14"/>
  <c r="A10" i="14"/>
  <c r="A67" i="15"/>
  <c r="A40" i="15"/>
  <c r="A10" i="15"/>
  <c r="A67" i="16"/>
  <c r="A40" i="16"/>
  <c r="A10" i="16"/>
  <c r="A67" i="17"/>
  <c r="A40" i="17"/>
  <c r="A10" i="17"/>
  <c r="A67" i="18"/>
  <c r="A40" i="18"/>
  <c r="A10" i="18"/>
  <c r="A9" i="18"/>
  <c r="E231" i="5" l="1"/>
  <c r="E230" i="5"/>
  <c r="E228" i="5"/>
  <c r="E227" i="5"/>
  <c r="E226" i="5"/>
  <c r="D231" i="5"/>
  <c r="D230" i="5"/>
  <c r="D228" i="5"/>
  <c r="D227" i="5"/>
  <c r="D226" i="5"/>
  <c r="C231" i="5"/>
  <c r="C230" i="5"/>
  <c r="C12" i="18" s="1"/>
  <c r="C228" i="5"/>
  <c r="A66" i="18" s="1"/>
  <c r="C227" i="5"/>
  <c r="C226" i="5"/>
  <c r="E217" i="5"/>
  <c r="E216" i="5"/>
  <c r="E214" i="5"/>
  <c r="E213" i="5"/>
  <c r="E212" i="5"/>
  <c r="D217" i="5"/>
  <c r="D216" i="5"/>
  <c r="D214" i="5"/>
  <c r="D213" i="5"/>
  <c r="D212" i="5"/>
  <c r="C217" i="5"/>
  <c r="C216" i="5"/>
  <c r="C42" i="17" s="1"/>
  <c r="C214" i="5"/>
  <c r="C213" i="5"/>
  <c r="A39" i="17" s="1"/>
  <c r="C212" i="5"/>
  <c r="E203" i="5"/>
  <c r="E202" i="5"/>
  <c r="E200" i="5"/>
  <c r="E199" i="5"/>
  <c r="E198" i="5"/>
  <c r="D203" i="5"/>
  <c r="D202" i="5"/>
  <c r="D200" i="5"/>
  <c r="D199" i="5"/>
  <c r="D198" i="5"/>
  <c r="C203" i="5"/>
  <c r="C202" i="5"/>
  <c r="C200" i="5"/>
  <c r="C199" i="5"/>
  <c r="A39" i="16" s="1"/>
  <c r="C198" i="5"/>
  <c r="E189" i="5"/>
  <c r="E188" i="5"/>
  <c r="E186" i="5"/>
  <c r="E185" i="5"/>
  <c r="E184" i="5"/>
  <c r="D189" i="5"/>
  <c r="D188" i="5"/>
  <c r="D186" i="5"/>
  <c r="D185" i="5"/>
  <c r="D184" i="5"/>
  <c r="C189" i="5"/>
  <c r="D69" i="15" s="1"/>
  <c r="C188" i="5"/>
  <c r="C42" i="15" s="1"/>
  <c r="C186" i="5"/>
  <c r="C185" i="5"/>
  <c r="C184" i="5"/>
  <c r="E175" i="5"/>
  <c r="E174" i="5"/>
  <c r="E172" i="5"/>
  <c r="E171" i="5"/>
  <c r="E170" i="5"/>
  <c r="D175" i="5"/>
  <c r="D174" i="5"/>
  <c r="D172" i="5"/>
  <c r="D171" i="5"/>
  <c r="D170" i="5"/>
  <c r="C175" i="5"/>
  <c r="D42" i="14" s="1"/>
  <c r="C174" i="5"/>
  <c r="C172" i="5"/>
  <c r="C171" i="5"/>
  <c r="C170" i="5"/>
  <c r="E161" i="5"/>
  <c r="E160" i="5"/>
  <c r="E158" i="5"/>
  <c r="E157" i="5"/>
  <c r="E156" i="5"/>
  <c r="D161" i="5"/>
  <c r="D160" i="5"/>
  <c r="D158" i="5"/>
  <c r="D157" i="5"/>
  <c r="D156" i="5"/>
  <c r="C161" i="5"/>
  <c r="C160" i="5"/>
  <c r="C158" i="5"/>
  <c r="C157" i="5"/>
  <c r="C156" i="5"/>
  <c r="A66" i="13"/>
  <c r="E149" i="5"/>
  <c r="E147" i="5"/>
  <c r="E146" i="5"/>
  <c r="E144" i="5"/>
  <c r="E143" i="5"/>
  <c r="E142" i="5"/>
  <c r="D148" i="5"/>
  <c r="D147" i="5"/>
  <c r="D146" i="5"/>
  <c r="D144" i="5"/>
  <c r="D143" i="5"/>
  <c r="D142" i="5"/>
  <c r="D132" i="5"/>
  <c r="C148" i="5"/>
  <c r="G69" i="12" s="1"/>
  <c r="C147" i="5"/>
  <c r="D69" i="12" s="1"/>
  <c r="C146" i="5"/>
  <c r="C144" i="5"/>
  <c r="C143" i="5"/>
  <c r="C142" i="5"/>
  <c r="A9" i="12" s="1"/>
  <c r="A66" i="12"/>
  <c r="E134" i="5"/>
  <c r="E133" i="5"/>
  <c r="E132" i="5"/>
  <c r="E130" i="5"/>
  <c r="E129" i="5"/>
  <c r="E128" i="5"/>
  <c r="D135" i="5"/>
  <c r="D133" i="5"/>
  <c r="D130" i="5"/>
  <c r="D129" i="5"/>
  <c r="D128" i="5"/>
  <c r="E119" i="5"/>
  <c r="E118" i="5"/>
  <c r="E116" i="5"/>
  <c r="E115" i="5"/>
  <c r="E114" i="5"/>
  <c r="D119" i="5"/>
  <c r="D118" i="5"/>
  <c r="D116" i="5"/>
  <c r="D115" i="5"/>
  <c r="D114" i="5"/>
  <c r="C134" i="5"/>
  <c r="G42" i="11" s="1"/>
  <c r="C133" i="5"/>
  <c r="D69" i="11" s="1"/>
  <c r="C132" i="5"/>
  <c r="C12" i="11" s="1"/>
  <c r="C115" i="5"/>
  <c r="A39" i="10" s="1"/>
  <c r="C116" i="5"/>
  <c r="C130" i="5"/>
  <c r="C129" i="5"/>
  <c r="C128" i="5"/>
  <c r="A39" i="11"/>
  <c r="C119" i="5"/>
  <c r="D42" i="10" s="1"/>
  <c r="C118" i="5"/>
  <c r="C42" i="10" s="1"/>
  <c r="C114" i="5"/>
  <c r="A9" i="10" s="1"/>
  <c r="A66" i="10"/>
  <c r="E105" i="5"/>
  <c r="E104" i="5"/>
  <c r="E102" i="5"/>
  <c r="E101" i="5"/>
  <c r="E100" i="5"/>
  <c r="D102" i="5"/>
  <c r="D101" i="5"/>
  <c r="D100" i="5"/>
  <c r="D105" i="5"/>
  <c r="D107" i="5"/>
  <c r="D106" i="5"/>
  <c r="D104" i="5"/>
  <c r="C105" i="5"/>
  <c r="D42" i="9" s="1"/>
  <c r="C104" i="5"/>
  <c r="C42" i="9" s="1"/>
  <c r="C102" i="5"/>
  <c r="C101" i="5"/>
  <c r="A39" i="9" s="1"/>
  <c r="C100" i="5"/>
  <c r="A66" i="9"/>
  <c r="E93" i="5"/>
  <c r="E91" i="5"/>
  <c r="E90" i="5"/>
  <c r="E88" i="5"/>
  <c r="E87" i="5"/>
  <c r="E86" i="5"/>
  <c r="D93" i="5"/>
  <c r="D92" i="5"/>
  <c r="D91" i="5"/>
  <c r="D90" i="5"/>
  <c r="D88" i="5"/>
  <c r="D87" i="5"/>
  <c r="D86" i="5"/>
  <c r="C88" i="5"/>
  <c r="C87" i="5"/>
  <c r="C86" i="5"/>
  <c r="C91" i="5"/>
  <c r="C90" i="5"/>
  <c r="E12" i="5"/>
  <c r="E11" i="5"/>
  <c r="E9" i="5"/>
  <c r="E8" i="5"/>
  <c r="E7" i="5"/>
  <c r="D12" i="5"/>
  <c r="D11" i="5"/>
  <c r="D9" i="5"/>
  <c r="D8" i="5"/>
  <c r="D7" i="5"/>
  <c r="C12" i="5"/>
  <c r="C11" i="5"/>
  <c r="C9" i="5"/>
  <c r="C8" i="5"/>
  <c r="C7" i="5"/>
  <c r="D3" i="5"/>
  <c r="C13" i="5" s="1"/>
  <c r="A88" i="18"/>
  <c r="A86" i="18"/>
  <c r="A39" i="18"/>
  <c r="J69" i="18"/>
  <c r="F69" i="18"/>
  <c r="D69" i="18"/>
  <c r="C69" i="18"/>
  <c r="J42" i="18"/>
  <c r="F42" i="18"/>
  <c r="D42" i="18"/>
  <c r="D12" i="18"/>
  <c r="A87" i="18"/>
  <c r="A85" i="18"/>
  <c r="I83" i="18"/>
  <c r="E83" i="18"/>
  <c r="A83" i="18"/>
  <c r="I82" i="18"/>
  <c r="E82" i="18"/>
  <c r="A82" i="18"/>
  <c r="I81" i="18"/>
  <c r="E81" i="18"/>
  <c r="A81" i="18"/>
  <c r="I80" i="18"/>
  <c r="E80" i="18"/>
  <c r="A80" i="18"/>
  <c r="I79" i="18"/>
  <c r="E79" i="18"/>
  <c r="A79" i="18"/>
  <c r="I78" i="18"/>
  <c r="E78" i="18"/>
  <c r="A78" i="18"/>
  <c r="I77" i="18"/>
  <c r="E77" i="18"/>
  <c r="A77" i="18"/>
  <c r="I76" i="18"/>
  <c r="E76" i="18"/>
  <c r="A76" i="18"/>
  <c r="I75" i="18"/>
  <c r="E75" i="18"/>
  <c r="A75" i="18"/>
  <c r="I74" i="18"/>
  <c r="E74" i="18"/>
  <c r="A74" i="18"/>
  <c r="I73" i="18"/>
  <c r="E73" i="18"/>
  <c r="A73" i="18"/>
  <c r="I72" i="18"/>
  <c r="E72" i="18"/>
  <c r="A72" i="18"/>
  <c r="I71" i="18"/>
  <c r="E71" i="18"/>
  <c r="A71" i="18"/>
  <c r="I70" i="18"/>
  <c r="E70" i="18"/>
  <c r="A70" i="18"/>
  <c r="A63" i="18"/>
  <c r="I61" i="18"/>
  <c r="E61" i="18"/>
  <c r="A61" i="18"/>
  <c r="I60" i="18"/>
  <c r="E60" i="18"/>
  <c r="A60" i="18"/>
  <c r="I59" i="18"/>
  <c r="E59" i="18"/>
  <c r="A59" i="18"/>
  <c r="I58" i="18"/>
  <c r="E58" i="18"/>
  <c r="A58" i="18"/>
  <c r="I57" i="18"/>
  <c r="E57" i="18"/>
  <c r="A57" i="18"/>
  <c r="I56" i="18"/>
  <c r="E56" i="18"/>
  <c r="A56" i="18"/>
  <c r="I55" i="18"/>
  <c r="E55" i="18"/>
  <c r="A55" i="18"/>
  <c r="I54" i="18"/>
  <c r="E54" i="18"/>
  <c r="A54" i="18"/>
  <c r="I53" i="18"/>
  <c r="E53" i="18"/>
  <c r="A53" i="18"/>
  <c r="I52" i="18"/>
  <c r="E52" i="18"/>
  <c r="A52" i="18"/>
  <c r="I51" i="18"/>
  <c r="E51" i="18"/>
  <c r="A51" i="18"/>
  <c r="I50" i="18"/>
  <c r="E50" i="18"/>
  <c r="A50" i="18"/>
  <c r="I49" i="18"/>
  <c r="E49" i="18"/>
  <c r="A49" i="18"/>
  <c r="I48" i="18"/>
  <c r="E48" i="18"/>
  <c r="A48" i="18"/>
  <c r="I47" i="18"/>
  <c r="E47" i="18"/>
  <c r="A47" i="18"/>
  <c r="I46" i="18"/>
  <c r="E46" i="18"/>
  <c r="A46" i="18"/>
  <c r="I45" i="18"/>
  <c r="E45" i="18"/>
  <c r="A45" i="18"/>
  <c r="I44" i="18"/>
  <c r="E44" i="18"/>
  <c r="A44" i="18"/>
  <c r="I43" i="18"/>
  <c r="E43" i="18"/>
  <c r="A43" i="18"/>
  <c r="J36" i="18"/>
  <c r="H36" i="18"/>
  <c r="G36" i="18"/>
  <c r="I36" i="18" s="1"/>
  <c r="F36" i="18"/>
  <c r="D36" i="18"/>
  <c r="D35" i="18" s="1"/>
  <c r="C36" i="18"/>
  <c r="C35" i="18" s="1"/>
  <c r="A36" i="18"/>
  <c r="H35" i="18"/>
  <c r="G35" i="18"/>
  <c r="A35" i="18"/>
  <c r="I34" i="18"/>
  <c r="E34" i="18"/>
  <c r="A34" i="18"/>
  <c r="I33" i="18"/>
  <c r="E33" i="18"/>
  <c r="A33" i="18"/>
  <c r="I32" i="18"/>
  <c r="E32" i="18"/>
  <c r="A32" i="18"/>
  <c r="I31" i="18"/>
  <c r="E31" i="18"/>
  <c r="A31" i="18"/>
  <c r="I30" i="18"/>
  <c r="E30" i="18"/>
  <c r="A30" i="18"/>
  <c r="I29" i="18"/>
  <c r="E29" i="18"/>
  <c r="A29" i="18"/>
  <c r="I28" i="18"/>
  <c r="E28" i="18"/>
  <c r="A28" i="18"/>
  <c r="I27" i="18"/>
  <c r="E27" i="18"/>
  <c r="A27" i="18"/>
  <c r="I26" i="18"/>
  <c r="E26" i="18"/>
  <c r="A26" i="18"/>
  <c r="I25" i="18"/>
  <c r="E25" i="18"/>
  <c r="A25" i="18"/>
  <c r="I24" i="18"/>
  <c r="E24" i="18"/>
  <c r="A24" i="18"/>
  <c r="I23" i="18"/>
  <c r="E23" i="18"/>
  <c r="A23" i="18"/>
  <c r="I22" i="18"/>
  <c r="E22" i="18"/>
  <c r="A22" i="18"/>
  <c r="I21" i="18"/>
  <c r="E21" i="18"/>
  <c r="A21" i="18"/>
  <c r="I20" i="18"/>
  <c r="E20" i="18"/>
  <c r="A20" i="18"/>
  <c r="I19" i="18"/>
  <c r="E19" i="18"/>
  <c r="A19" i="18"/>
  <c r="I18" i="18"/>
  <c r="E18" i="18"/>
  <c r="A18" i="18"/>
  <c r="I17" i="18"/>
  <c r="E17" i="18"/>
  <c r="A17" i="18"/>
  <c r="I16" i="18"/>
  <c r="E16" i="18"/>
  <c r="A16" i="18"/>
  <c r="I15" i="18"/>
  <c r="E15" i="18"/>
  <c r="A15" i="18"/>
  <c r="I14" i="18"/>
  <c r="E14" i="18"/>
  <c r="A14" i="18"/>
  <c r="I13" i="18"/>
  <c r="E13" i="18"/>
  <c r="A13" i="18"/>
  <c r="J12" i="18"/>
  <c r="F12" i="18"/>
  <c r="A7" i="18"/>
  <c r="A88" i="17"/>
  <c r="A86" i="17"/>
  <c r="A66" i="17"/>
  <c r="J69" i="17"/>
  <c r="F69" i="17"/>
  <c r="D69" i="17"/>
  <c r="J42" i="17"/>
  <c r="F42" i="17"/>
  <c r="D42" i="17"/>
  <c r="D12" i="17"/>
  <c r="A9" i="17"/>
  <c r="A87" i="17"/>
  <c r="A85" i="17"/>
  <c r="I83" i="17"/>
  <c r="E83" i="17"/>
  <c r="A83" i="17"/>
  <c r="I82" i="17"/>
  <c r="E82" i="17"/>
  <c r="A82" i="17"/>
  <c r="I81" i="17"/>
  <c r="E81" i="17"/>
  <c r="A81" i="17"/>
  <c r="I80" i="17"/>
  <c r="E80" i="17"/>
  <c r="A80" i="17"/>
  <c r="I79" i="17"/>
  <c r="E79" i="17"/>
  <c r="A79" i="17"/>
  <c r="I78" i="17"/>
  <c r="E78" i="17"/>
  <c r="A78" i="17"/>
  <c r="I77" i="17"/>
  <c r="E77" i="17"/>
  <c r="A77" i="17"/>
  <c r="I76" i="17"/>
  <c r="E76" i="17"/>
  <c r="A76" i="17"/>
  <c r="I75" i="17"/>
  <c r="E75" i="17"/>
  <c r="A75" i="17"/>
  <c r="I74" i="17"/>
  <c r="E74" i="17"/>
  <c r="A74" i="17"/>
  <c r="I73" i="17"/>
  <c r="E73" i="17"/>
  <c r="A73" i="17"/>
  <c r="I72" i="17"/>
  <c r="E72" i="17"/>
  <c r="A72" i="17"/>
  <c r="I71" i="17"/>
  <c r="E71" i="17"/>
  <c r="A71" i="17"/>
  <c r="I70" i="17"/>
  <c r="E70" i="17"/>
  <c r="A70" i="17"/>
  <c r="A63" i="17"/>
  <c r="I61" i="17"/>
  <c r="E61" i="17"/>
  <c r="A61" i="17"/>
  <c r="I60" i="17"/>
  <c r="E60" i="17"/>
  <c r="A60" i="17"/>
  <c r="I59" i="17"/>
  <c r="E59" i="17"/>
  <c r="A59" i="17"/>
  <c r="I58" i="17"/>
  <c r="E58" i="17"/>
  <c r="A58" i="17"/>
  <c r="I57" i="17"/>
  <c r="E57" i="17"/>
  <c r="A57" i="17"/>
  <c r="I56" i="17"/>
  <c r="E56" i="17"/>
  <c r="A56" i="17"/>
  <c r="I55" i="17"/>
  <c r="E55" i="17"/>
  <c r="A55" i="17"/>
  <c r="I54" i="17"/>
  <c r="E54" i="17"/>
  <c r="A54" i="17"/>
  <c r="I53" i="17"/>
  <c r="E53" i="17"/>
  <c r="A53" i="17"/>
  <c r="I52" i="17"/>
  <c r="E52" i="17"/>
  <c r="A52" i="17"/>
  <c r="I51" i="17"/>
  <c r="E51" i="17"/>
  <c r="A51" i="17"/>
  <c r="I50" i="17"/>
  <c r="E50" i="17"/>
  <c r="A50" i="17"/>
  <c r="I49" i="17"/>
  <c r="E49" i="17"/>
  <c r="A49" i="17"/>
  <c r="I48" i="17"/>
  <c r="E48" i="17"/>
  <c r="A48" i="17"/>
  <c r="I47" i="17"/>
  <c r="E47" i="17"/>
  <c r="A47" i="17"/>
  <c r="I46" i="17"/>
  <c r="E46" i="17"/>
  <c r="A46" i="17"/>
  <c r="I45" i="17"/>
  <c r="E45" i="17"/>
  <c r="A45" i="17"/>
  <c r="I44" i="17"/>
  <c r="E44" i="17"/>
  <c r="A44" i="17"/>
  <c r="I43" i="17"/>
  <c r="E43" i="17"/>
  <c r="A43" i="17"/>
  <c r="J36" i="17"/>
  <c r="I36" i="17"/>
  <c r="H36" i="17"/>
  <c r="G36" i="17"/>
  <c r="F36" i="17"/>
  <c r="D36" i="17"/>
  <c r="D35" i="17" s="1"/>
  <c r="C36" i="17"/>
  <c r="C35" i="17" s="1"/>
  <c r="A36" i="17"/>
  <c r="H35" i="17"/>
  <c r="G35" i="17"/>
  <c r="A35" i="17"/>
  <c r="I34" i="17"/>
  <c r="E34" i="17"/>
  <c r="A34" i="17"/>
  <c r="I33" i="17"/>
  <c r="E33" i="17"/>
  <c r="A33" i="17"/>
  <c r="I32" i="17"/>
  <c r="E32" i="17"/>
  <c r="A32" i="17"/>
  <c r="I31" i="17"/>
  <c r="E31" i="17"/>
  <c r="A31" i="17"/>
  <c r="I30" i="17"/>
  <c r="E30" i="17"/>
  <c r="A30" i="17"/>
  <c r="I29" i="17"/>
  <c r="E29" i="17"/>
  <c r="A29" i="17"/>
  <c r="I28" i="17"/>
  <c r="E28" i="17"/>
  <c r="A28" i="17"/>
  <c r="I27" i="17"/>
  <c r="E27" i="17"/>
  <c r="A27" i="17"/>
  <c r="I26" i="17"/>
  <c r="E26" i="17"/>
  <c r="A26" i="17"/>
  <c r="I25" i="17"/>
  <c r="E25" i="17"/>
  <c r="A25" i="17"/>
  <c r="I24" i="17"/>
  <c r="E24" i="17"/>
  <c r="A24" i="17"/>
  <c r="I23" i="17"/>
  <c r="E23" i="17"/>
  <c r="A23" i="17"/>
  <c r="I22" i="17"/>
  <c r="E22" i="17"/>
  <c r="A22" i="17"/>
  <c r="I21" i="17"/>
  <c r="E21" i="17"/>
  <c r="A21" i="17"/>
  <c r="I20" i="17"/>
  <c r="E20" i="17"/>
  <c r="A20" i="17"/>
  <c r="I19" i="17"/>
  <c r="E19" i="17"/>
  <c r="A19" i="17"/>
  <c r="I18" i="17"/>
  <c r="E18" i="17"/>
  <c r="A18" i="17"/>
  <c r="I17" i="17"/>
  <c r="E17" i="17"/>
  <c r="A17" i="17"/>
  <c r="I16" i="17"/>
  <c r="E16" i="17"/>
  <c r="A16" i="17"/>
  <c r="I15" i="17"/>
  <c r="E15" i="17"/>
  <c r="A15" i="17"/>
  <c r="I14" i="17"/>
  <c r="E14" i="17"/>
  <c r="A14" i="17"/>
  <c r="I13" i="17"/>
  <c r="E13" i="17"/>
  <c r="A13" i="17"/>
  <c r="J12" i="17"/>
  <c r="F12" i="17"/>
  <c r="A7" i="17"/>
  <c r="A88" i="16"/>
  <c r="A86" i="16"/>
  <c r="A66" i="16"/>
  <c r="J69" i="16"/>
  <c r="F69" i="16"/>
  <c r="D69" i="16"/>
  <c r="C69" i="16"/>
  <c r="J42" i="16"/>
  <c r="F42" i="16"/>
  <c r="D42" i="16"/>
  <c r="C42" i="16"/>
  <c r="D12" i="16"/>
  <c r="C12" i="16"/>
  <c r="A9" i="16"/>
  <c r="A87" i="16"/>
  <c r="A85" i="16"/>
  <c r="I83" i="16"/>
  <c r="E83" i="16"/>
  <c r="A83" i="16"/>
  <c r="I82" i="16"/>
  <c r="E82" i="16"/>
  <c r="A82" i="16"/>
  <c r="I81" i="16"/>
  <c r="E81" i="16"/>
  <c r="A81" i="16"/>
  <c r="I80" i="16"/>
  <c r="E80" i="16"/>
  <c r="A80" i="16"/>
  <c r="I79" i="16"/>
  <c r="E79" i="16"/>
  <c r="A79" i="16"/>
  <c r="I78" i="16"/>
  <c r="E78" i="16"/>
  <c r="A78" i="16"/>
  <c r="I77" i="16"/>
  <c r="E77" i="16"/>
  <c r="A77" i="16"/>
  <c r="I76" i="16"/>
  <c r="E76" i="16"/>
  <c r="A76" i="16"/>
  <c r="I75" i="16"/>
  <c r="E75" i="16"/>
  <c r="A75" i="16"/>
  <c r="I74" i="16"/>
  <c r="E74" i="16"/>
  <c r="A74" i="16"/>
  <c r="I73" i="16"/>
  <c r="E73" i="16"/>
  <c r="A73" i="16"/>
  <c r="I72" i="16"/>
  <c r="E72" i="16"/>
  <c r="A72" i="16"/>
  <c r="I71" i="16"/>
  <c r="E71" i="16"/>
  <c r="A71" i="16"/>
  <c r="I70" i="16"/>
  <c r="E70" i="16"/>
  <c r="A70" i="16"/>
  <c r="A63" i="16"/>
  <c r="I61" i="16"/>
  <c r="E61" i="16"/>
  <c r="A61" i="16"/>
  <c r="I60" i="16"/>
  <c r="E60" i="16"/>
  <c r="A60" i="16"/>
  <c r="I59" i="16"/>
  <c r="E59" i="16"/>
  <c r="A59" i="16"/>
  <c r="I58" i="16"/>
  <c r="E58" i="16"/>
  <c r="A58" i="16"/>
  <c r="I57" i="16"/>
  <c r="E57" i="16"/>
  <c r="A57" i="16"/>
  <c r="I56" i="16"/>
  <c r="E56" i="16"/>
  <c r="A56" i="16"/>
  <c r="I55" i="16"/>
  <c r="E55" i="16"/>
  <c r="A55" i="16"/>
  <c r="I54" i="16"/>
  <c r="E54" i="16"/>
  <c r="A54" i="16"/>
  <c r="I53" i="16"/>
  <c r="E53" i="16"/>
  <c r="A53" i="16"/>
  <c r="I52" i="16"/>
  <c r="E52" i="16"/>
  <c r="A52" i="16"/>
  <c r="I51" i="16"/>
  <c r="E51" i="16"/>
  <c r="A51" i="16"/>
  <c r="I50" i="16"/>
  <c r="E50" i="16"/>
  <c r="A50" i="16"/>
  <c r="I49" i="16"/>
  <c r="E49" i="16"/>
  <c r="A49" i="16"/>
  <c r="I48" i="16"/>
  <c r="E48" i="16"/>
  <c r="A48" i="16"/>
  <c r="I47" i="16"/>
  <c r="E47" i="16"/>
  <c r="A47" i="16"/>
  <c r="I46" i="16"/>
  <c r="E46" i="16"/>
  <c r="A46" i="16"/>
  <c r="I45" i="16"/>
  <c r="E45" i="16"/>
  <c r="A45" i="16"/>
  <c r="I44" i="16"/>
  <c r="E44" i="16"/>
  <c r="A44" i="16"/>
  <c r="I43" i="16"/>
  <c r="E43" i="16"/>
  <c r="A43" i="16"/>
  <c r="J36" i="16"/>
  <c r="H36" i="16"/>
  <c r="G36" i="16"/>
  <c r="I36" i="16" s="1"/>
  <c r="F36" i="16"/>
  <c r="D36" i="16"/>
  <c r="D35" i="16" s="1"/>
  <c r="C36" i="16"/>
  <c r="C35" i="16" s="1"/>
  <c r="A36" i="16"/>
  <c r="H35" i="16"/>
  <c r="G35" i="16"/>
  <c r="A35" i="16"/>
  <c r="I34" i="16"/>
  <c r="E34" i="16"/>
  <c r="A34" i="16"/>
  <c r="I33" i="16"/>
  <c r="E33" i="16"/>
  <c r="A33" i="16"/>
  <c r="I32" i="16"/>
  <c r="E32" i="16"/>
  <c r="A32" i="16"/>
  <c r="I31" i="16"/>
  <c r="E31" i="16"/>
  <c r="A31" i="16"/>
  <c r="I30" i="16"/>
  <c r="E30" i="16"/>
  <c r="A30" i="16"/>
  <c r="I29" i="16"/>
  <c r="E29" i="16"/>
  <c r="A29" i="16"/>
  <c r="I28" i="16"/>
  <c r="E28" i="16"/>
  <c r="A28" i="16"/>
  <c r="I27" i="16"/>
  <c r="E27" i="16"/>
  <c r="A27" i="16"/>
  <c r="I26" i="16"/>
  <c r="E26" i="16"/>
  <c r="A26" i="16"/>
  <c r="I25" i="16"/>
  <c r="E25" i="16"/>
  <c r="A25" i="16"/>
  <c r="I24" i="16"/>
  <c r="E24" i="16"/>
  <c r="A24" i="16"/>
  <c r="I23" i="16"/>
  <c r="E23" i="16"/>
  <c r="A23" i="16"/>
  <c r="I22" i="16"/>
  <c r="E22" i="16"/>
  <c r="A22" i="16"/>
  <c r="I21" i="16"/>
  <c r="E21" i="16"/>
  <c r="A21" i="16"/>
  <c r="I20" i="16"/>
  <c r="E20" i="16"/>
  <c r="A20" i="16"/>
  <c r="I19" i="16"/>
  <c r="E19" i="16"/>
  <c r="A19" i="16"/>
  <c r="I18" i="16"/>
  <c r="E18" i="16"/>
  <c r="A18" i="16"/>
  <c r="I17" i="16"/>
  <c r="E17" i="16"/>
  <c r="A17" i="16"/>
  <c r="I16" i="16"/>
  <c r="E16" i="16"/>
  <c r="A16" i="16"/>
  <c r="I15" i="16"/>
  <c r="E15" i="16"/>
  <c r="A15" i="16"/>
  <c r="I14" i="16"/>
  <c r="E14" i="16"/>
  <c r="A14" i="16"/>
  <c r="I13" i="16"/>
  <c r="E13" i="16"/>
  <c r="A13" i="16"/>
  <c r="J12" i="16"/>
  <c r="F12" i="16"/>
  <c r="A7" i="16"/>
  <c r="A88" i="15"/>
  <c r="A86" i="15"/>
  <c r="A66" i="15"/>
  <c r="A39" i="15"/>
  <c r="J69" i="15"/>
  <c r="F69" i="15"/>
  <c r="J42" i="15"/>
  <c r="F42" i="15"/>
  <c r="D42" i="15"/>
  <c r="A9" i="15"/>
  <c r="A87" i="15"/>
  <c r="A85" i="15"/>
  <c r="I83" i="15"/>
  <c r="E83" i="15"/>
  <c r="A83" i="15"/>
  <c r="I82" i="15"/>
  <c r="E82" i="15"/>
  <c r="A82" i="15"/>
  <c r="I81" i="15"/>
  <c r="E81" i="15"/>
  <c r="A81" i="15"/>
  <c r="I80" i="15"/>
  <c r="E80" i="15"/>
  <c r="A80" i="15"/>
  <c r="I79" i="15"/>
  <c r="E79" i="15"/>
  <c r="A79" i="15"/>
  <c r="I78" i="15"/>
  <c r="E78" i="15"/>
  <c r="A78" i="15"/>
  <c r="I77" i="15"/>
  <c r="E77" i="15"/>
  <c r="A77" i="15"/>
  <c r="I76" i="15"/>
  <c r="E76" i="15"/>
  <c r="A76" i="15"/>
  <c r="I75" i="15"/>
  <c r="E75" i="15"/>
  <c r="A75" i="15"/>
  <c r="I74" i="15"/>
  <c r="E74" i="15"/>
  <c r="A74" i="15"/>
  <c r="I73" i="15"/>
  <c r="E73" i="15"/>
  <c r="A73" i="15"/>
  <c r="I72" i="15"/>
  <c r="E72" i="15"/>
  <c r="A72" i="15"/>
  <c r="I71" i="15"/>
  <c r="E71" i="15"/>
  <c r="A71" i="15"/>
  <c r="I70" i="15"/>
  <c r="E70" i="15"/>
  <c r="A70" i="15"/>
  <c r="A63" i="15"/>
  <c r="I61" i="15"/>
  <c r="E61" i="15"/>
  <c r="A61" i="15"/>
  <c r="I60" i="15"/>
  <c r="E60" i="15"/>
  <c r="A60" i="15"/>
  <c r="I59" i="15"/>
  <c r="E59" i="15"/>
  <c r="A59" i="15"/>
  <c r="I58" i="15"/>
  <c r="E58" i="15"/>
  <c r="A58" i="15"/>
  <c r="I57" i="15"/>
  <c r="E57" i="15"/>
  <c r="A57" i="15"/>
  <c r="I56" i="15"/>
  <c r="E56" i="15"/>
  <c r="A56" i="15"/>
  <c r="I55" i="15"/>
  <c r="E55" i="15"/>
  <c r="A55" i="15"/>
  <c r="I54" i="15"/>
  <c r="E54" i="15"/>
  <c r="A54" i="15"/>
  <c r="I53" i="15"/>
  <c r="E53" i="15"/>
  <c r="A53" i="15"/>
  <c r="I52" i="15"/>
  <c r="E52" i="15"/>
  <c r="A52" i="15"/>
  <c r="I51" i="15"/>
  <c r="E51" i="15"/>
  <c r="A51" i="15"/>
  <c r="I50" i="15"/>
  <c r="E50" i="15"/>
  <c r="A50" i="15"/>
  <c r="I49" i="15"/>
  <c r="E49" i="15"/>
  <c r="A49" i="15"/>
  <c r="I48" i="15"/>
  <c r="E48" i="15"/>
  <c r="A48" i="15"/>
  <c r="I47" i="15"/>
  <c r="E47" i="15"/>
  <c r="A47" i="15"/>
  <c r="I46" i="15"/>
  <c r="E46" i="15"/>
  <c r="A46" i="15"/>
  <c r="I45" i="15"/>
  <c r="E45" i="15"/>
  <c r="A45" i="15"/>
  <c r="I44" i="15"/>
  <c r="E44" i="15"/>
  <c r="A44" i="15"/>
  <c r="I43" i="15"/>
  <c r="E43" i="15"/>
  <c r="A43" i="15"/>
  <c r="J36" i="15"/>
  <c r="H36" i="15"/>
  <c r="G36" i="15"/>
  <c r="I36" i="15" s="1"/>
  <c r="F36" i="15"/>
  <c r="D36" i="15"/>
  <c r="D35" i="15" s="1"/>
  <c r="C36" i="15"/>
  <c r="C35" i="15" s="1"/>
  <c r="A36" i="15"/>
  <c r="H35" i="15"/>
  <c r="G35" i="15"/>
  <c r="A35" i="15"/>
  <c r="I34" i="15"/>
  <c r="E34" i="15"/>
  <c r="A34" i="15"/>
  <c r="I33" i="15"/>
  <c r="E33" i="15"/>
  <c r="A33" i="15"/>
  <c r="I32" i="15"/>
  <c r="E32" i="15"/>
  <c r="A32" i="15"/>
  <c r="I31" i="15"/>
  <c r="E31" i="15"/>
  <c r="A31" i="15"/>
  <c r="I30" i="15"/>
  <c r="E30" i="15"/>
  <c r="A30" i="15"/>
  <c r="I29" i="15"/>
  <c r="E29" i="15"/>
  <c r="A29" i="15"/>
  <c r="I28" i="15"/>
  <c r="E28" i="15"/>
  <c r="A28" i="15"/>
  <c r="I27" i="15"/>
  <c r="E27" i="15"/>
  <c r="A27" i="15"/>
  <c r="I26" i="15"/>
  <c r="E26" i="15"/>
  <c r="A26" i="15"/>
  <c r="I25" i="15"/>
  <c r="E25" i="15"/>
  <c r="A25" i="15"/>
  <c r="I24" i="15"/>
  <c r="E24" i="15"/>
  <c r="A24" i="15"/>
  <c r="I23" i="15"/>
  <c r="E23" i="15"/>
  <c r="A23" i="15"/>
  <c r="I22" i="15"/>
  <c r="E22" i="15"/>
  <c r="A22" i="15"/>
  <c r="I21" i="15"/>
  <c r="E21" i="15"/>
  <c r="A21" i="15"/>
  <c r="I20" i="15"/>
  <c r="E20" i="15"/>
  <c r="A20" i="15"/>
  <c r="I19" i="15"/>
  <c r="E19" i="15"/>
  <c r="A19" i="15"/>
  <c r="I18" i="15"/>
  <c r="E18" i="15"/>
  <c r="A18" i="15"/>
  <c r="I17" i="15"/>
  <c r="E17" i="15"/>
  <c r="A17" i="15"/>
  <c r="I16" i="15"/>
  <c r="E16" i="15"/>
  <c r="A16" i="15"/>
  <c r="I15" i="15"/>
  <c r="E15" i="15"/>
  <c r="A15" i="15"/>
  <c r="I14" i="15"/>
  <c r="E14" i="15"/>
  <c r="A14" i="15"/>
  <c r="I13" i="15"/>
  <c r="E13" i="15"/>
  <c r="A13" i="15"/>
  <c r="J12" i="15"/>
  <c r="F12" i="15"/>
  <c r="A7" i="15"/>
  <c r="A88" i="14"/>
  <c r="A86" i="14"/>
  <c r="A66" i="14"/>
  <c r="A39" i="14"/>
  <c r="J69" i="14"/>
  <c r="F69" i="14"/>
  <c r="C69" i="14"/>
  <c r="J42" i="14"/>
  <c r="F42" i="14"/>
  <c r="C42" i="14"/>
  <c r="C12" i="14"/>
  <c r="A9" i="14"/>
  <c r="A87" i="14"/>
  <c r="A85" i="14"/>
  <c r="I83" i="14"/>
  <c r="E83" i="14"/>
  <c r="A83" i="14"/>
  <c r="I82" i="14"/>
  <c r="E82" i="14"/>
  <c r="A82" i="14"/>
  <c r="I81" i="14"/>
  <c r="E81" i="14"/>
  <c r="A81" i="14"/>
  <c r="I80" i="14"/>
  <c r="E80" i="14"/>
  <c r="A80" i="14"/>
  <c r="I79" i="14"/>
  <c r="E79" i="14"/>
  <c r="A79" i="14"/>
  <c r="I78" i="14"/>
  <c r="E78" i="14"/>
  <c r="A78" i="14"/>
  <c r="I77" i="14"/>
  <c r="E77" i="14"/>
  <c r="A77" i="14"/>
  <c r="I76" i="14"/>
  <c r="E76" i="14"/>
  <c r="A76" i="14"/>
  <c r="I75" i="14"/>
  <c r="E75" i="14"/>
  <c r="A75" i="14"/>
  <c r="I74" i="14"/>
  <c r="E74" i="14"/>
  <c r="A74" i="14"/>
  <c r="I73" i="14"/>
  <c r="E73" i="14"/>
  <c r="A73" i="14"/>
  <c r="I72" i="14"/>
  <c r="E72" i="14"/>
  <c r="A72" i="14"/>
  <c r="I71" i="14"/>
  <c r="E71" i="14"/>
  <c r="A71" i="14"/>
  <c r="I70" i="14"/>
  <c r="E70" i="14"/>
  <c r="A70" i="14"/>
  <c r="A63" i="14"/>
  <c r="I61" i="14"/>
  <c r="E61" i="14"/>
  <c r="A61" i="14"/>
  <c r="I60" i="14"/>
  <c r="E60" i="14"/>
  <c r="A60" i="14"/>
  <c r="I59" i="14"/>
  <c r="E59" i="14"/>
  <c r="A59" i="14"/>
  <c r="I58" i="14"/>
  <c r="E58" i="14"/>
  <c r="A58" i="14"/>
  <c r="I57" i="14"/>
  <c r="E57" i="14"/>
  <c r="A57" i="14"/>
  <c r="I56" i="14"/>
  <c r="E56" i="14"/>
  <c r="A56" i="14"/>
  <c r="I55" i="14"/>
  <c r="E55" i="14"/>
  <c r="A55" i="14"/>
  <c r="I54" i="14"/>
  <c r="E54" i="14"/>
  <c r="A54" i="14"/>
  <c r="I53" i="14"/>
  <c r="E53" i="14"/>
  <c r="A53" i="14"/>
  <c r="I52" i="14"/>
  <c r="E52" i="14"/>
  <c r="A52" i="14"/>
  <c r="I51" i="14"/>
  <c r="E51" i="14"/>
  <c r="A51" i="14"/>
  <c r="I50" i="14"/>
  <c r="E50" i="14"/>
  <c r="A50" i="14"/>
  <c r="I49" i="14"/>
  <c r="E49" i="14"/>
  <c r="A49" i="14"/>
  <c r="I48" i="14"/>
  <c r="E48" i="14"/>
  <c r="A48" i="14"/>
  <c r="I47" i="14"/>
  <c r="E47" i="14"/>
  <c r="A47" i="14"/>
  <c r="I46" i="14"/>
  <c r="E46" i="14"/>
  <c r="A46" i="14"/>
  <c r="I45" i="14"/>
  <c r="E45" i="14"/>
  <c r="A45" i="14"/>
  <c r="I44" i="14"/>
  <c r="E44" i="14"/>
  <c r="A44" i="14"/>
  <c r="I43" i="14"/>
  <c r="E43" i="14"/>
  <c r="A43" i="14"/>
  <c r="J36" i="14"/>
  <c r="H36" i="14"/>
  <c r="G36" i="14"/>
  <c r="I36" i="14" s="1"/>
  <c r="F36" i="14"/>
  <c r="D36" i="14"/>
  <c r="C36" i="14"/>
  <c r="C35" i="14" s="1"/>
  <c r="A36" i="14"/>
  <c r="H35" i="14"/>
  <c r="G35" i="14"/>
  <c r="A35" i="14"/>
  <c r="I34" i="14"/>
  <c r="E34" i="14"/>
  <c r="A34" i="14"/>
  <c r="I33" i="14"/>
  <c r="E33" i="14"/>
  <c r="A33" i="14"/>
  <c r="I32" i="14"/>
  <c r="E32" i="14"/>
  <c r="A32" i="14"/>
  <c r="I31" i="14"/>
  <c r="E31" i="14"/>
  <c r="A31" i="14"/>
  <c r="I30" i="14"/>
  <c r="E30" i="14"/>
  <c r="A30" i="14"/>
  <c r="I29" i="14"/>
  <c r="E29" i="14"/>
  <c r="A29" i="14"/>
  <c r="I28" i="14"/>
  <c r="E28" i="14"/>
  <c r="A28" i="14"/>
  <c r="I27" i="14"/>
  <c r="E27" i="14"/>
  <c r="A27" i="14"/>
  <c r="I26" i="14"/>
  <c r="E26" i="14"/>
  <c r="A26" i="14"/>
  <c r="I25" i="14"/>
  <c r="E25" i="14"/>
  <c r="A25" i="14"/>
  <c r="I24" i="14"/>
  <c r="E24" i="14"/>
  <c r="A24" i="14"/>
  <c r="I23" i="14"/>
  <c r="E23" i="14"/>
  <c r="A23" i="14"/>
  <c r="I22" i="14"/>
  <c r="E22" i="14"/>
  <c r="A22" i="14"/>
  <c r="I21" i="14"/>
  <c r="E21" i="14"/>
  <c r="A21" i="14"/>
  <c r="I20" i="14"/>
  <c r="E20" i="14"/>
  <c r="A20" i="14"/>
  <c r="I19" i="14"/>
  <c r="E19" i="14"/>
  <c r="A19" i="14"/>
  <c r="I18" i="14"/>
  <c r="E18" i="14"/>
  <c r="A18" i="14"/>
  <c r="I17" i="14"/>
  <c r="E17" i="14"/>
  <c r="A17" i="14"/>
  <c r="I16" i="14"/>
  <c r="E16" i="14"/>
  <c r="A16" i="14"/>
  <c r="I15" i="14"/>
  <c r="E15" i="14"/>
  <c r="A15" i="14"/>
  <c r="I14" i="14"/>
  <c r="E14" i="14"/>
  <c r="A14" i="14"/>
  <c r="I13" i="14"/>
  <c r="E13" i="14"/>
  <c r="A13" i="14"/>
  <c r="J12" i="14"/>
  <c r="F12" i="14"/>
  <c r="A7" i="14"/>
  <c r="A88" i="13"/>
  <c r="A86" i="13"/>
  <c r="A39" i="13"/>
  <c r="J69" i="13"/>
  <c r="F69" i="13"/>
  <c r="D69" i="13"/>
  <c r="C69" i="13"/>
  <c r="J42" i="13"/>
  <c r="F42" i="13"/>
  <c r="D42" i="13"/>
  <c r="C42" i="13"/>
  <c r="D12" i="13"/>
  <c r="C12" i="13"/>
  <c r="A9" i="13"/>
  <c r="A87" i="13"/>
  <c r="A85" i="13"/>
  <c r="I83" i="13"/>
  <c r="E83" i="13"/>
  <c r="A83" i="13"/>
  <c r="I82" i="13"/>
  <c r="E82" i="13"/>
  <c r="A82" i="13"/>
  <c r="I81" i="13"/>
  <c r="E81" i="13"/>
  <c r="A81" i="13"/>
  <c r="I80" i="13"/>
  <c r="E80" i="13"/>
  <c r="A80" i="13"/>
  <c r="I79" i="13"/>
  <c r="E79" i="13"/>
  <c r="A79" i="13"/>
  <c r="I78" i="13"/>
  <c r="E78" i="13"/>
  <c r="A78" i="13"/>
  <c r="I77" i="13"/>
  <c r="E77" i="13"/>
  <c r="A77" i="13"/>
  <c r="I76" i="13"/>
  <c r="E76" i="13"/>
  <c r="A76" i="13"/>
  <c r="I75" i="13"/>
  <c r="E75" i="13"/>
  <c r="A75" i="13"/>
  <c r="I74" i="13"/>
  <c r="E74" i="13"/>
  <c r="A74" i="13"/>
  <c r="I73" i="13"/>
  <c r="E73" i="13"/>
  <c r="A73" i="13"/>
  <c r="I72" i="13"/>
  <c r="E72" i="13"/>
  <c r="A72" i="13"/>
  <c r="I71" i="13"/>
  <c r="E71" i="13"/>
  <c r="A71" i="13"/>
  <c r="I70" i="13"/>
  <c r="E70" i="13"/>
  <c r="A70" i="13"/>
  <c r="A63" i="13"/>
  <c r="I61" i="13"/>
  <c r="E61" i="13"/>
  <c r="A61" i="13"/>
  <c r="I60" i="13"/>
  <c r="E60" i="13"/>
  <c r="A60" i="13"/>
  <c r="I59" i="13"/>
  <c r="E59" i="13"/>
  <c r="A59" i="13"/>
  <c r="I58" i="13"/>
  <c r="E58" i="13"/>
  <c r="A58" i="13"/>
  <c r="I57" i="13"/>
  <c r="E57" i="13"/>
  <c r="A57" i="13"/>
  <c r="I56" i="13"/>
  <c r="E56" i="13"/>
  <c r="A56" i="13"/>
  <c r="I55" i="13"/>
  <c r="E55" i="13"/>
  <c r="A55" i="13"/>
  <c r="I54" i="13"/>
  <c r="E54" i="13"/>
  <c r="A54" i="13"/>
  <c r="I53" i="13"/>
  <c r="E53" i="13"/>
  <c r="A53" i="13"/>
  <c r="I52" i="13"/>
  <c r="E52" i="13"/>
  <c r="A52" i="13"/>
  <c r="I51" i="13"/>
  <c r="E51" i="13"/>
  <c r="A51" i="13"/>
  <c r="I50" i="13"/>
  <c r="E50" i="13"/>
  <c r="A50" i="13"/>
  <c r="I49" i="13"/>
  <c r="E49" i="13"/>
  <c r="A49" i="13"/>
  <c r="I48" i="13"/>
  <c r="E48" i="13"/>
  <c r="A48" i="13"/>
  <c r="I47" i="13"/>
  <c r="E47" i="13"/>
  <c r="A47" i="13"/>
  <c r="I46" i="13"/>
  <c r="E46" i="13"/>
  <c r="A46" i="13"/>
  <c r="I45" i="13"/>
  <c r="E45" i="13"/>
  <c r="A45" i="13"/>
  <c r="I44" i="13"/>
  <c r="E44" i="13"/>
  <c r="A44" i="13"/>
  <c r="I43" i="13"/>
  <c r="E43" i="13"/>
  <c r="A43" i="13"/>
  <c r="J36" i="13"/>
  <c r="H36" i="13"/>
  <c r="G36" i="13"/>
  <c r="I36" i="13" s="1"/>
  <c r="F36" i="13"/>
  <c r="D36" i="13"/>
  <c r="D35" i="13" s="1"/>
  <c r="C36" i="13"/>
  <c r="C35" i="13" s="1"/>
  <c r="A36" i="13"/>
  <c r="H35" i="13"/>
  <c r="G35" i="13"/>
  <c r="A35" i="13"/>
  <c r="I34" i="13"/>
  <c r="E34" i="13"/>
  <c r="A34" i="13"/>
  <c r="I33" i="13"/>
  <c r="E33" i="13"/>
  <c r="A33" i="13"/>
  <c r="I32" i="13"/>
  <c r="E32" i="13"/>
  <c r="A32" i="13"/>
  <c r="I31" i="13"/>
  <c r="E31" i="13"/>
  <c r="A31" i="13"/>
  <c r="I30" i="13"/>
  <c r="E30" i="13"/>
  <c r="A30" i="13"/>
  <c r="I29" i="13"/>
  <c r="E29" i="13"/>
  <c r="A29" i="13"/>
  <c r="I28" i="13"/>
  <c r="E28" i="13"/>
  <c r="A28" i="13"/>
  <c r="I27" i="13"/>
  <c r="E27" i="13"/>
  <c r="A27" i="13"/>
  <c r="I26" i="13"/>
  <c r="E26" i="13"/>
  <c r="A26" i="13"/>
  <c r="I25" i="13"/>
  <c r="E25" i="13"/>
  <c r="A25" i="13"/>
  <c r="I24" i="13"/>
  <c r="E24" i="13"/>
  <c r="A24" i="13"/>
  <c r="I23" i="13"/>
  <c r="E23" i="13"/>
  <c r="A23" i="13"/>
  <c r="I22" i="13"/>
  <c r="E22" i="13"/>
  <c r="A22" i="13"/>
  <c r="I21" i="13"/>
  <c r="E21" i="13"/>
  <c r="A21" i="13"/>
  <c r="I20" i="13"/>
  <c r="E20" i="13"/>
  <c r="A20" i="13"/>
  <c r="I19" i="13"/>
  <c r="E19" i="13"/>
  <c r="A19" i="13"/>
  <c r="I18" i="13"/>
  <c r="E18" i="13"/>
  <c r="A18" i="13"/>
  <c r="I17" i="13"/>
  <c r="E17" i="13"/>
  <c r="A17" i="13"/>
  <c r="I16" i="13"/>
  <c r="E16" i="13"/>
  <c r="A16" i="13"/>
  <c r="I15" i="13"/>
  <c r="E15" i="13"/>
  <c r="A15" i="13"/>
  <c r="I14" i="13"/>
  <c r="E14" i="13"/>
  <c r="A14" i="13"/>
  <c r="I13" i="13"/>
  <c r="E13" i="13"/>
  <c r="A13" i="13"/>
  <c r="J12" i="13"/>
  <c r="F12" i="13"/>
  <c r="A7" i="13"/>
  <c r="A88" i="12"/>
  <c r="A87" i="12"/>
  <c r="A86" i="12"/>
  <c r="A39" i="12"/>
  <c r="J69" i="12"/>
  <c r="F69" i="12"/>
  <c r="C69" i="12"/>
  <c r="J42" i="12"/>
  <c r="F42" i="12"/>
  <c r="C42" i="12"/>
  <c r="C12" i="12"/>
  <c r="A85" i="12"/>
  <c r="I83" i="12"/>
  <c r="E83" i="12"/>
  <c r="A83" i="12"/>
  <c r="I82" i="12"/>
  <c r="E82" i="12"/>
  <c r="A82" i="12"/>
  <c r="I81" i="12"/>
  <c r="E81" i="12"/>
  <c r="A81" i="12"/>
  <c r="I80" i="12"/>
  <c r="E80" i="12"/>
  <c r="A80" i="12"/>
  <c r="I79" i="12"/>
  <c r="E79" i="12"/>
  <c r="A79" i="12"/>
  <c r="I78" i="12"/>
  <c r="E78" i="12"/>
  <c r="A78" i="12"/>
  <c r="I77" i="12"/>
  <c r="E77" i="12"/>
  <c r="A77" i="12"/>
  <c r="I76" i="12"/>
  <c r="E76" i="12"/>
  <c r="A76" i="12"/>
  <c r="I75" i="12"/>
  <c r="E75" i="12"/>
  <c r="A75" i="12"/>
  <c r="I74" i="12"/>
  <c r="E74" i="12"/>
  <c r="A74" i="12"/>
  <c r="I73" i="12"/>
  <c r="E73" i="12"/>
  <c r="A73" i="12"/>
  <c r="I72" i="12"/>
  <c r="E72" i="12"/>
  <c r="A72" i="12"/>
  <c r="I71" i="12"/>
  <c r="E71" i="12"/>
  <c r="A71" i="12"/>
  <c r="I70" i="12"/>
  <c r="E70" i="12"/>
  <c r="A70" i="12"/>
  <c r="A63" i="12"/>
  <c r="I61" i="12"/>
  <c r="E61" i="12"/>
  <c r="A61" i="12"/>
  <c r="I60" i="12"/>
  <c r="E60" i="12"/>
  <c r="A60" i="12"/>
  <c r="I59" i="12"/>
  <c r="E59" i="12"/>
  <c r="A59" i="12"/>
  <c r="I58" i="12"/>
  <c r="E58" i="12"/>
  <c r="A58" i="12"/>
  <c r="I57" i="12"/>
  <c r="E57" i="12"/>
  <c r="A57" i="12"/>
  <c r="I56" i="12"/>
  <c r="E56" i="12"/>
  <c r="A56" i="12"/>
  <c r="I55" i="12"/>
  <c r="E55" i="12"/>
  <c r="A55" i="12"/>
  <c r="I54" i="12"/>
  <c r="E54" i="12"/>
  <c r="A54" i="12"/>
  <c r="I53" i="12"/>
  <c r="E53" i="12"/>
  <c r="A53" i="12"/>
  <c r="I52" i="12"/>
  <c r="E52" i="12"/>
  <c r="A52" i="12"/>
  <c r="I51" i="12"/>
  <c r="E51" i="12"/>
  <c r="A51" i="12"/>
  <c r="I50" i="12"/>
  <c r="E50" i="12"/>
  <c r="A50" i="12"/>
  <c r="I49" i="12"/>
  <c r="E49" i="12"/>
  <c r="A49" i="12"/>
  <c r="I48" i="12"/>
  <c r="E48" i="12"/>
  <c r="A48" i="12"/>
  <c r="I47" i="12"/>
  <c r="E47" i="12"/>
  <c r="A47" i="12"/>
  <c r="I46" i="12"/>
  <c r="E46" i="12"/>
  <c r="A46" i="12"/>
  <c r="I45" i="12"/>
  <c r="E45" i="12"/>
  <c r="A45" i="12"/>
  <c r="I44" i="12"/>
  <c r="E44" i="12"/>
  <c r="A44" i="12"/>
  <c r="I43" i="12"/>
  <c r="E43" i="12"/>
  <c r="A43" i="12"/>
  <c r="J36" i="12"/>
  <c r="H36" i="12"/>
  <c r="G36" i="12"/>
  <c r="I36" i="12" s="1"/>
  <c r="F36" i="12"/>
  <c r="D36" i="12"/>
  <c r="D35" i="12" s="1"/>
  <c r="C36" i="12"/>
  <c r="C35" i="12" s="1"/>
  <c r="A36" i="12"/>
  <c r="H35" i="12"/>
  <c r="G35" i="12"/>
  <c r="A35" i="12"/>
  <c r="I34" i="12"/>
  <c r="E34" i="12"/>
  <c r="A34" i="12"/>
  <c r="I33" i="12"/>
  <c r="E33" i="12"/>
  <c r="A33" i="12"/>
  <c r="I32" i="12"/>
  <c r="E32" i="12"/>
  <c r="A32" i="12"/>
  <c r="I31" i="12"/>
  <c r="E31" i="12"/>
  <c r="A31" i="12"/>
  <c r="I30" i="12"/>
  <c r="E30" i="12"/>
  <c r="A30" i="12"/>
  <c r="I29" i="12"/>
  <c r="E29" i="12"/>
  <c r="A29" i="12"/>
  <c r="I28" i="12"/>
  <c r="E28" i="12"/>
  <c r="A28" i="12"/>
  <c r="I27" i="12"/>
  <c r="E27" i="12"/>
  <c r="A27" i="12"/>
  <c r="I26" i="12"/>
  <c r="E26" i="12"/>
  <c r="A26" i="12"/>
  <c r="I25" i="12"/>
  <c r="E25" i="12"/>
  <c r="A25" i="12"/>
  <c r="I24" i="12"/>
  <c r="E24" i="12"/>
  <c r="A24" i="12"/>
  <c r="I23" i="12"/>
  <c r="E23" i="12"/>
  <c r="A23" i="12"/>
  <c r="I22" i="12"/>
  <c r="E22" i="12"/>
  <c r="A22" i="12"/>
  <c r="I21" i="12"/>
  <c r="E21" i="12"/>
  <c r="A21" i="12"/>
  <c r="I20" i="12"/>
  <c r="E20" i="12"/>
  <c r="A20" i="12"/>
  <c r="I19" i="12"/>
  <c r="E19" i="12"/>
  <c r="A19" i="12"/>
  <c r="I18" i="12"/>
  <c r="E18" i="12"/>
  <c r="A18" i="12"/>
  <c r="I17" i="12"/>
  <c r="E17" i="12"/>
  <c r="A17" i="12"/>
  <c r="I16" i="12"/>
  <c r="E16" i="12"/>
  <c r="A16" i="12"/>
  <c r="I15" i="12"/>
  <c r="E15" i="12"/>
  <c r="A15" i="12"/>
  <c r="I14" i="12"/>
  <c r="E14" i="12"/>
  <c r="A14" i="12"/>
  <c r="I13" i="12"/>
  <c r="E13" i="12"/>
  <c r="A13" i="12"/>
  <c r="J12" i="12"/>
  <c r="F12" i="12"/>
  <c r="A7" i="12"/>
  <c r="A88" i="11"/>
  <c r="A86" i="11"/>
  <c r="A66" i="11"/>
  <c r="J69" i="11"/>
  <c r="F69" i="11"/>
  <c r="J42" i="11"/>
  <c r="F42" i="11"/>
  <c r="C42" i="11"/>
  <c r="G12" i="11"/>
  <c r="D12" i="11"/>
  <c r="A9" i="11"/>
  <c r="A87" i="11"/>
  <c r="A85" i="11"/>
  <c r="I83" i="11"/>
  <c r="E83" i="11"/>
  <c r="A83" i="11"/>
  <c r="I82" i="11"/>
  <c r="E82" i="11"/>
  <c r="A82" i="11"/>
  <c r="I81" i="11"/>
  <c r="E81" i="11"/>
  <c r="A81" i="11"/>
  <c r="I80" i="11"/>
  <c r="E80" i="11"/>
  <c r="A80" i="11"/>
  <c r="I79" i="11"/>
  <c r="E79" i="11"/>
  <c r="A79" i="11"/>
  <c r="I78" i="11"/>
  <c r="E78" i="11"/>
  <c r="A78" i="11"/>
  <c r="I77" i="11"/>
  <c r="E77" i="11"/>
  <c r="A77" i="11"/>
  <c r="I76" i="11"/>
  <c r="E76" i="11"/>
  <c r="A76" i="11"/>
  <c r="I75" i="11"/>
  <c r="E75" i="11"/>
  <c r="A75" i="11"/>
  <c r="I74" i="11"/>
  <c r="E74" i="11"/>
  <c r="A74" i="11"/>
  <c r="I73" i="11"/>
  <c r="E73" i="11"/>
  <c r="A73" i="11"/>
  <c r="I72" i="11"/>
  <c r="E72" i="11"/>
  <c r="A72" i="11"/>
  <c r="I71" i="11"/>
  <c r="E71" i="11"/>
  <c r="A71" i="11"/>
  <c r="I70" i="11"/>
  <c r="E70" i="11"/>
  <c r="A70" i="11"/>
  <c r="A63" i="11"/>
  <c r="I61" i="11"/>
  <c r="E61" i="11"/>
  <c r="A61" i="11"/>
  <c r="I60" i="11"/>
  <c r="E60" i="11"/>
  <c r="A60" i="11"/>
  <c r="I59" i="11"/>
  <c r="E59" i="11"/>
  <c r="A59" i="11"/>
  <c r="I58" i="11"/>
  <c r="E58" i="11"/>
  <c r="A58" i="11"/>
  <c r="I57" i="11"/>
  <c r="E57" i="11"/>
  <c r="A57" i="11"/>
  <c r="I56" i="11"/>
  <c r="E56" i="11"/>
  <c r="A56" i="11"/>
  <c r="I55" i="11"/>
  <c r="E55" i="11"/>
  <c r="A55" i="11"/>
  <c r="I54" i="11"/>
  <c r="E54" i="11"/>
  <c r="A54" i="11"/>
  <c r="I53" i="11"/>
  <c r="E53" i="11"/>
  <c r="A53" i="11"/>
  <c r="I52" i="11"/>
  <c r="E52" i="11"/>
  <c r="A52" i="11"/>
  <c r="I51" i="11"/>
  <c r="E51" i="11"/>
  <c r="A51" i="11"/>
  <c r="I50" i="11"/>
  <c r="E50" i="11"/>
  <c r="A50" i="11"/>
  <c r="I49" i="11"/>
  <c r="E49" i="11"/>
  <c r="A49" i="11"/>
  <c r="I48" i="11"/>
  <c r="E48" i="11"/>
  <c r="A48" i="11"/>
  <c r="I47" i="11"/>
  <c r="E47" i="11"/>
  <c r="A47" i="11"/>
  <c r="I46" i="11"/>
  <c r="E46" i="11"/>
  <c r="A46" i="11"/>
  <c r="I45" i="11"/>
  <c r="E45" i="11"/>
  <c r="A45" i="11"/>
  <c r="I44" i="11"/>
  <c r="E44" i="11"/>
  <c r="A44" i="11"/>
  <c r="I43" i="11"/>
  <c r="E43" i="11"/>
  <c r="A43" i="11"/>
  <c r="J36" i="11"/>
  <c r="H36" i="11"/>
  <c r="G36" i="11"/>
  <c r="I36" i="11" s="1"/>
  <c r="F36" i="11"/>
  <c r="D36" i="11"/>
  <c r="D35" i="11" s="1"/>
  <c r="C36" i="11"/>
  <c r="C35" i="11" s="1"/>
  <c r="A36" i="11"/>
  <c r="H35" i="11"/>
  <c r="G35" i="11"/>
  <c r="A35" i="11"/>
  <c r="I34" i="11"/>
  <c r="E34" i="11"/>
  <c r="A34" i="11"/>
  <c r="I33" i="11"/>
  <c r="E33" i="11"/>
  <c r="A33" i="11"/>
  <c r="I32" i="11"/>
  <c r="E32" i="11"/>
  <c r="A32" i="11"/>
  <c r="I31" i="11"/>
  <c r="E31" i="11"/>
  <c r="A31" i="11"/>
  <c r="I30" i="11"/>
  <c r="E30" i="11"/>
  <c r="A30" i="11"/>
  <c r="I29" i="11"/>
  <c r="E29" i="11"/>
  <c r="A29" i="11"/>
  <c r="I28" i="11"/>
  <c r="E28" i="11"/>
  <c r="A28" i="11"/>
  <c r="I27" i="11"/>
  <c r="E27" i="11"/>
  <c r="A27" i="11"/>
  <c r="I26" i="11"/>
  <c r="E26" i="11"/>
  <c r="A26" i="11"/>
  <c r="I25" i="11"/>
  <c r="E25" i="11"/>
  <c r="A25" i="11"/>
  <c r="I24" i="11"/>
  <c r="E24" i="11"/>
  <c r="A24" i="11"/>
  <c r="I23" i="11"/>
  <c r="E23" i="11"/>
  <c r="A23" i="11"/>
  <c r="I22" i="11"/>
  <c r="E22" i="11"/>
  <c r="A22" i="11"/>
  <c r="I21" i="11"/>
  <c r="E21" i="11"/>
  <c r="A21" i="11"/>
  <c r="I20" i="11"/>
  <c r="E20" i="11"/>
  <c r="A20" i="11"/>
  <c r="I19" i="11"/>
  <c r="E19" i="11"/>
  <c r="A19" i="11"/>
  <c r="I18" i="11"/>
  <c r="E18" i="11"/>
  <c r="A18" i="11"/>
  <c r="I17" i="11"/>
  <c r="E17" i="11"/>
  <c r="A17" i="11"/>
  <c r="I16" i="11"/>
  <c r="E16" i="11"/>
  <c r="A16" i="11"/>
  <c r="I15" i="11"/>
  <c r="E15" i="11"/>
  <c r="A15" i="11"/>
  <c r="I14" i="11"/>
  <c r="E14" i="11"/>
  <c r="A14" i="11"/>
  <c r="I13" i="11"/>
  <c r="E13" i="11"/>
  <c r="A13" i="11"/>
  <c r="J12" i="11"/>
  <c r="F12" i="11"/>
  <c r="A7" i="11"/>
  <c r="A88" i="10"/>
  <c r="A86" i="10"/>
  <c r="J69" i="10"/>
  <c r="F69" i="10"/>
  <c r="J42" i="10"/>
  <c r="F42" i="10"/>
  <c r="A87" i="10"/>
  <c r="A85" i="10"/>
  <c r="I83" i="10"/>
  <c r="E83" i="10"/>
  <c r="A83" i="10"/>
  <c r="I82" i="10"/>
  <c r="E82" i="10"/>
  <c r="A82" i="10"/>
  <c r="I81" i="10"/>
  <c r="E81" i="10"/>
  <c r="A81" i="10"/>
  <c r="I80" i="10"/>
  <c r="E80" i="10"/>
  <c r="A80" i="10"/>
  <c r="I79" i="10"/>
  <c r="E79" i="10"/>
  <c r="A79" i="10"/>
  <c r="I78" i="10"/>
  <c r="E78" i="10"/>
  <c r="A78" i="10"/>
  <c r="I77" i="10"/>
  <c r="E77" i="10"/>
  <c r="A77" i="10"/>
  <c r="I76" i="10"/>
  <c r="E76" i="10"/>
  <c r="A76" i="10"/>
  <c r="I75" i="10"/>
  <c r="E75" i="10"/>
  <c r="A75" i="10"/>
  <c r="I74" i="10"/>
  <c r="E74" i="10"/>
  <c r="A74" i="10"/>
  <c r="I73" i="10"/>
  <c r="E73" i="10"/>
  <c r="A73" i="10"/>
  <c r="I72" i="10"/>
  <c r="E72" i="10"/>
  <c r="A72" i="10"/>
  <c r="I71" i="10"/>
  <c r="E71" i="10"/>
  <c r="A71" i="10"/>
  <c r="I70" i="10"/>
  <c r="E70" i="10"/>
  <c r="A70" i="10"/>
  <c r="A63" i="10"/>
  <c r="I61" i="10"/>
  <c r="E61" i="10"/>
  <c r="A61" i="10"/>
  <c r="I60" i="10"/>
  <c r="E60" i="10"/>
  <c r="A60" i="10"/>
  <c r="I59" i="10"/>
  <c r="E59" i="10"/>
  <c r="A59" i="10"/>
  <c r="I58" i="10"/>
  <c r="E58" i="10"/>
  <c r="A58" i="10"/>
  <c r="I57" i="10"/>
  <c r="E57" i="10"/>
  <c r="A57" i="10"/>
  <c r="I56" i="10"/>
  <c r="E56" i="10"/>
  <c r="A56" i="10"/>
  <c r="I55" i="10"/>
  <c r="E55" i="10"/>
  <c r="A55" i="10"/>
  <c r="I54" i="10"/>
  <c r="E54" i="10"/>
  <c r="A54" i="10"/>
  <c r="I53" i="10"/>
  <c r="E53" i="10"/>
  <c r="A53" i="10"/>
  <c r="I52" i="10"/>
  <c r="E52" i="10"/>
  <c r="A52" i="10"/>
  <c r="I51" i="10"/>
  <c r="E51" i="10"/>
  <c r="A51" i="10"/>
  <c r="I50" i="10"/>
  <c r="E50" i="10"/>
  <c r="A50" i="10"/>
  <c r="I49" i="10"/>
  <c r="E49" i="10"/>
  <c r="A49" i="10"/>
  <c r="I48" i="10"/>
  <c r="E48" i="10"/>
  <c r="A48" i="10"/>
  <c r="I47" i="10"/>
  <c r="E47" i="10"/>
  <c r="A47" i="10"/>
  <c r="I46" i="10"/>
  <c r="E46" i="10"/>
  <c r="A46" i="10"/>
  <c r="I45" i="10"/>
  <c r="E45" i="10"/>
  <c r="A45" i="10"/>
  <c r="I44" i="10"/>
  <c r="E44" i="10"/>
  <c r="A44" i="10"/>
  <c r="I43" i="10"/>
  <c r="E43" i="10"/>
  <c r="A43" i="10"/>
  <c r="J36" i="10"/>
  <c r="H36" i="10"/>
  <c r="G36" i="10"/>
  <c r="I36" i="10" s="1"/>
  <c r="F36" i="10"/>
  <c r="D36" i="10"/>
  <c r="D35" i="10" s="1"/>
  <c r="C36" i="10"/>
  <c r="C35" i="10" s="1"/>
  <c r="A36" i="10"/>
  <c r="H35" i="10"/>
  <c r="G35" i="10"/>
  <c r="A35" i="10"/>
  <c r="I34" i="10"/>
  <c r="E34" i="10"/>
  <c r="A34" i="10"/>
  <c r="I33" i="10"/>
  <c r="E33" i="10"/>
  <c r="A33" i="10"/>
  <c r="I32" i="10"/>
  <c r="E32" i="10"/>
  <c r="A32" i="10"/>
  <c r="I31" i="10"/>
  <c r="E31" i="10"/>
  <c r="A31" i="10"/>
  <c r="I30" i="10"/>
  <c r="E30" i="10"/>
  <c r="A30" i="10"/>
  <c r="I29" i="10"/>
  <c r="E29" i="10"/>
  <c r="A29" i="10"/>
  <c r="I28" i="10"/>
  <c r="E28" i="10"/>
  <c r="A28" i="10"/>
  <c r="I27" i="10"/>
  <c r="E27" i="10"/>
  <c r="A27" i="10"/>
  <c r="I26" i="10"/>
  <c r="E26" i="10"/>
  <c r="A26" i="10"/>
  <c r="I25" i="10"/>
  <c r="E25" i="10"/>
  <c r="A25" i="10"/>
  <c r="I24" i="10"/>
  <c r="E24" i="10"/>
  <c r="A24" i="10"/>
  <c r="I23" i="10"/>
  <c r="E23" i="10"/>
  <c r="A23" i="10"/>
  <c r="I22" i="10"/>
  <c r="E22" i="10"/>
  <c r="A22" i="10"/>
  <c r="I21" i="10"/>
  <c r="E21" i="10"/>
  <c r="A21" i="10"/>
  <c r="I20" i="10"/>
  <c r="E20" i="10"/>
  <c r="A20" i="10"/>
  <c r="I19" i="10"/>
  <c r="E19" i="10"/>
  <c r="A19" i="10"/>
  <c r="I18" i="10"/>
  <c r="E18" i="10"/>
  <c r="A18" i="10"/>
  <c r="I17" i="10"/>
  <c r="E17" i="10"/>
  <c r="A17" i="10"/>
  <c r="I16" i="10"/>
  <c r="E16" i="10"/>
  <c r="A16" i="10"/>
  <c r="I15" i="10"/>
  <c r="E15" i="10"/>
  <c r="A15" i="10"/>
  <c r="I14" i="10"/>
  <c r="E14" i="10"/>
  <c r="A14" i="10"/>
  <c r="I13" i="10"/>
  <c r="E13" i="10"/>
  <c r="A13" i="10"/>
  <c r="J12" i="10"/>
  <c r="F12" i="10"/>
  <c r="A7" i="10"/>
  <c r="A88" i="9"/>
  <c r="A86" i="9"/>
  <c r="J69" i="9"/>
  <c r="F69" i="9"/>
  <c r="J42" i="9"/>
  <c r="F42" i="9"/>
  <c r="A9" i="9"/>
  <c r="A87" i="9"/>
  <c r="A85" i="9"/>
  <c r="I83" i="9"/>
  <c r="E83" i="9"/>
  <c r="A83" i="9"/>
  <c r="I82" i="9"/>
  <c r="E82" i="9"/>
  <c r="A82" i="9"/>
  <c r="I81" i="9"/>
  <c r="E81" i="9"/>
  <c r="A81" i="9"/>
  <c r="I80" i="9"/>
  <c r="E80" i="9"/>
  <c r="A80" i="9"/>
  <c r="I79" i="9"/>
  <c r="E79" i="9"/>
  <c r="A79" i="9"/>
  <c r="I78" i="9"/>
  <c r="E78" i="9"/>
  <c r="A78" i="9"/>
  <c r="I77" i="9"/>
  <c r="E77" i="9"/>
  <c r="A77" i="9"/>
  <c r="I76" i="9"/>
  <c r="E76" i="9"/>
  <c r="A76" i="9"/>
  <c r="I75" i="9"/>
  <c r="E75" i="9"/>
  <c r="A75" i="9"/>
  <c r="I74" i="9"/>
  <c r="E74" i="9"/>
  <c r="A74" i="9"/>
  <c r="I73" i="9"/>
  <c r="E73" i="9"/>
  <c r="A73" i="9"/>
  <c r="I72" i="9"/>
  <c r="E72" i="9"/>
  <c r="A72" i="9"/>
  <c r="I71" i="9"/>
  <c r="E71" i="9"/>
  <c r="A71" i="9"/>
  <c r="I70" i="9"/>
  <c r="E70" i="9"/>
  <c r="A70" i="9"/>
  <c r="A63" i="9"/>
  <c r="I61" i="9"/>
  <c r="E61" i="9"/>
  <c r="A61" i="9"/>
  <c r="I60" i="9"/>
  <c r="E60" i="9"/>
  <c r="A60" i="9"/>
  <c r="I59" i="9"/>
  <c r="E59" i="9"/>
  <c r="A59" i="9"/>
  <c r="I58" i="9"/>
  <c r="E58" i="9"/>
  <c r="A58" i="9"/>
  <c r="I57" i="9"/>
  <c r="E57" i="9"/>
  <c r="A57" i="9"/>
  <c r="I56" i="9"/>
  <c r="E56" i="9"/>
  <c r="A56" i="9"/>
  <c r="I55" i="9"/>
  <c r="E55" i="9"/>
  <c r="A55" i="9"/>
  <c r="I54" i="9"/>
  <c r="E54" i="9"/>
  <c r="A54" i="9"/>
  <c r="I53" i="9"/>
  <c r="E53" i="9"/>
  <c r="A53" i="9"/>
  <c r="I52" i="9"/>
  <c r="E52" i="9"/>
  <c r="A52" i="9"/>
  <c r="I51" i="9"/>
  <c r="E51" i="9"/>
  <c r="A51" i="9"/>
  <c r="I50" i="9"/>
  <c r="E50" i="9"/>
  <c r="A50" i="9"/>
  <c r="I49" i="9"/>
  <c r="E49" i="9"/>
  <c r="A49" i="9"/>
  <c r="I48" i="9"/>
  <c r="E48" i="9"/>
  <c r="A48" i="9"/>
  <c r="I47" i="9"/>
  <c r="E47" i="9"/>
  <c r="A47" i="9"/>
  <c r="I46" i="9"/>
  <c r="E46" i="9"/>
  <c r="A46" i="9"/>
  <c r="I45" i="9"/>
  <c r="E45" i="9"/>
  <c r="A45" i="9"/>
  <c r="I44" i="9"/>
  <c r="E44" i="9"/>
  <c r="A44" i="9"/>
  <c r="I43" i="9"/>
  <c r="E43" i="9"/>
  <c r="A43" i="9"/>
  <c r="J36" i="9"/>
  <c r="H36" i="9"/>
  <c r="G36" i="9"/>
  <c r="I36" i="9" s="1"/>
  <c r="F36" i="9"/>
  <c r="D36" i="9"/>
  <c r="D35" i="9" s="1"/>
  <c r="C36" i="9"/>
  <c r="C35" i="9" s="1"/>
  <c r="A36" i="9"/>
  <c r="H35" i="9"/>
  <c r="G35" i="9"/>
  <c r="A35" i="9"/>
  <c r="I34" i="9"/>
  <c r="E34" i="9"/>
  <c r="A34" i="9"/>
  <c r="I33" i="9"/>
  <c r="E33" i="9"/>
  <c r="A33" i="9"/>
  <c r="I32" i="9"/>
  <c r="E32" i="9"/>
  <c r="A32" i="9"/>
  <c r="I31" i="9"/>
  <c r="E31" i="9"/>
  <c r="A31" i="9"/>
  <c r="I30" i="9"/>
  <c r="E30" i="9"/>
  <c r="A30" i="9"/>
  <c r="I29" i="9"/>
  <c r="E29" i="9"/>
  <c r="A29" i="9"/>
  <c r="I28" i="9"/>
  <c r="E28" i="9"/>
  <c r="A28" i="9"/>
  <c r="I27" i="9"/>
  <c r="E27" i="9"/>
  <c r="A27" i="9"/>
  <c r="I26" i="9"/>
  <c r="E26" i="9"/>
  <c r="A26" i="9"/>
  <c r="I25" i="9"/>
  <c r="E25" i="9"/>
  <c r="A25" i="9"/>
  <c r="I24" i="9"/>
  <c r="E24" i="9"/>
  <c r="A24" i="9"/>
  <c r="I23" i="9"/>
  <c r="E23" i="9"/>
  <c r="A23" i="9"/>
  <c r="I22" i="9"/>
  <c r="E22" i="9"/>
  <c r="A22" i="9"/>
  <c r="I21" i="9"/>
  <c r="E21" i="9"/>
  <c r="A21" i="9"/>
  <c r="I20" i="9"/>
  <c r="E20" i="9"/>
  <c r="A20" i="9"/>
  <c r="I19" i="9"/>
  <c r="E19" i="9"/>
  <c r="A19" i="9"/>
  <c r="I18" i="9"/>
  <c r="E18" i="9"/>
  <c r="A18" i="9"/>
  <c r="I17" i="9"/>
  <c r="E17" i="9"/>
  <c r="A17" i="9"/>
  <c r="I16" i="9"/>
  <c r="E16" i="9"/>
  <c r="A16" i="9"/>
  <c r="I15" i="9"/>
  <c r="E15" i="9"/>
  <c r="A15" i="9"/>
  <c r="I14" i="9"/>
  <c r="E14" i="9"/>
  <c r="A14" i="9"/>
  <c r="I13" i="9"/>
  <c r="E13" i="9"/>
  <c r="A13" i="9"/>
  <c r="J12" i="9"/>
  <c r="F12" i="9"/>
  <c r="A7" i="9"/>
  <c r="A88" i="7"/>
  <c r="A86" i="7"/>
  <c r="A66" i="7"/>
  <c r="A39" i="7"/>
  <c r="J69" i="7"/>
  <c r="F69" i="7"/>
  <c r="D69" i="7"/>
  <c r="C69" i="7"/>
  <c r="J42" i="7"/>
  <c r="F42" i="7"/>
  <c r="D42" i="7"/>
  <c r="C42" i="7"/>
  <c r="J12" i="7"/>
  <c r="F12" i="7"/>
  <c r="D12" i="7"/>
  <c r="C12" i="7"/>
  <c r="A7" i="7"/>
  <c r="A9" i="7"/>
  <c r="A87" i="7"/>
  <c r="A85" i="7"/>
  <c r="I83" i="7"/>
  <c r="E83" i="7"/>
  <c r="A83" i="7"/>
  <c r="I82" i="7"/>
  <c r="E82" i="7"/>
  <c r="A82" i="7"/>
  <c r="I81" i="7"/>
  <c r="E81" i="7"/>
  <c r="A81" i="7"/>
  <c r="I80" i="7"/>
  <c r="E80" i="7"/>
  <c r="A80" i="7"/>
  <c r="I79" i="7"/>
  <c r="E79" i="7"/>
  <c r="A79" i="7"/>
  <c r="I78" i="7"/>
  <c r="E78" i="7"/>
  <c r="A78" i="7"/>
  <c r="I77" i="7"/>
  <c r="E77" i="7"/>
  <c r="A77" i="7"/>
  <c r="I76" i="7"/>
  <c r="E76" i="7"/>
  <c r="A76" i="7"/>
  <c r="I75" i="7"/>
  <c r="E75" i="7"/>
  <c r="A75" i="7"/>
  <c r="I74" i="7"/>
  <c r="E74" i="7"/>
  <c r="A74" i="7"/>
  <c r="I73" i="7"/>
  <c r="E73" i="7"/>
  <c r="A73" i="7"/>
  <c r="I72" i="7"/>
  <c r="E72" i="7"/>
  <c r="A72" i="7"/>
  <c r="I71" i="7"/>
  <c r="E71" i="7"/>
  <c r="A71" i="7"/>
  <c r="I70" i="7"/>
  <c r="E70" i="7"/>
  <c r="A70" i="7"/>
  <c r="A63" i="7"/>
  <c r="I61" i="7"/>
  <c r="E61" i="7"/>
  <c r="A61" i="7"/>
  <c r="I60" i="7"/>
  <c r="E60" i="7"/>
  <c r="A60" i="7"/>
  <c r="I59" i="7"/>
  <c r="E59" i="7"/>
  <c r="A59" i="7"/>
  <c r="I58" i="7"/>
  <c r="E58" i="7"/>
  <c r="A58" i="7"/>
  <c r="I57" i="7"/>
  <c r="E57" i="7"/>
  <c r="A57" i="7"/>
  <c r="I56" i="7"/>
  <c r="E56" i="7"/>
  <c r="A56" i="7"/>
  <c r="I55" i="7"/>
  <c r="E55" i="7"/>
  <c r="A55" i="7"/>
  <c r="I54" i="7"/>
  <c r="E54" i="7"/>
  <c r="A54" i="7"/>
  <c r="I53" i="7"/>
  <c r="E53" i="7"/>
  <c r="A53" i="7"/>
  <c r="I52" i="7"/>
  <c r="E52" i="7"/>
  <c r="A52" i="7"/>
  <c r="I51" i="7"/>
  <c r="E51" i="7"/>
  <c r="A51" i="7"/>
  <c r="I50" i="7"/>
  <c r="E50" i="7"/>
  <c r="A50" i="7"/>
  <c r="I49" i="7"/>
  <c r="E49" i="7"/>
  <c r="A49" i="7"/>
  <c r="I48" i="7"/>
  <c r="E48" i="7"/>
  <c r="A48" i="7"/>
  <c r="I47" i="7"/>
  <c r="E47" i="7"/>
  <c r="A47" i="7"/>
  <c r="I46" i="7"/>
  <c r="E46" i="7"/>
  <c r="A46" i="7"/>
  <c r="I45" i="7"/>
  <c r="E45" i="7"/>
  <c r="A45" i="7"/>
  <c r="I44" i="7"/>
  <c r="E44" i="7"/>
  <c r="A44" i="7"/>
  <c r="I43" i="7"/>
  <c r="E43" i="7"/>
  <c r="A43" i="7"/>
  <c r="J36" i="7"/>
  <c r="H36" i="7"/>
  <c r="G36" i="7"/>
  <c r="F36" i="7"/>
  <c r="D36" i="7"/>
  <c r="D35" i="7" s="1"/>
  <c r="C36" i="7"/>
  <c r="C35" i="7" s="1"/>
  <c r="A36" i="7"/>
  <c r="H35" i="7"/>
  <c r="G35" i="7"/>
  <c r="A35" i="7"/>
  <c r="I34" i="7"/>
  <c r="E34" i="7"/>
  <c r="A34" i="7"/>
  <c r="I33" i="7"/>
  <c r="E33" i="7"/>
  <c r="A33" i="7"/>
  <c r="I32" i="7"/>
  <c r="E32" i="7"/>
  <c r="A32" i="7"/>
  <c r="I31" i="7"/>
  <c r="E31" i="7"/>
  <c r="A31" i="7"/>
  <c r="I30" i="7"/>
  <c r="E30" i="7"/>
  <c r="A30" i="7"/>
  <c r="I29" i="7"/>
  <c r="E29" i="7"/>
  <c r="A29" i="7"/>
  <c r="I28" i="7"/>
  <c r="E28" i="7"/>
  <c r="A28" i="7"/>
  <c r="I27" i="7"/>
  <c r="E27" i="7"/>
  <c r="A27" i="7"/>
  <c r="I26" i="7"/>
  <c r="E26" i="7"/>
  <c r="A26" i="7"/>
  <c r="I25" i="7"/>
  <c r="E25" i="7"/>
  <c r="A25" i="7"/>
  <c r="I24" i="7"/>
  <c r="E24" i="7"/>
  <c r="A24" i="7"/>
  <c r="I23" i="7"/>
  <c r="E23" i="7"/>
  <c r="A23" i="7"/>
  <c r="I22" i="7"/>
  <c r="E22" i="7"/>
  <c r="A22" i="7"/>
  <c r="I21" i="7"/>
  <c r="E21" i="7"/>
  <c r="A21" i="7"/>
  <c r="I20" i="7"/>
  <c r="E20" i="7"/>
  <c r="A20" i="7"/>
  <c r="I19" i="7"/>
  <c r="E19" i="7"/>
  <c r="A19" i="7"/>
  <c r="I18" i="7"/>
  <c r="E18" i="7"/>
  <c r="A18" i="7"/>
  <c r="I17" i="7"/>
  <c r="E17" i="7"/>
  <c r="A17" i="7"/>
  <c r="I16" i="7"/>
  <c r="E16" i="7"/>
  <c r="A16" i="7"/>
  <c r="I15" i="7"/>
  <c r="E15" i="7"/>
  <c r="A15" i="7"/>
  <c r="I14" i="7"/>
  <c r="E14" i="7"/>
  <c r="A14" i="7"/>
  <c r="I13" i="7"/>
  <c r="E13" i="7"/>
  <c r="A13" i="7"/>
  <c r="I36" i="7" l="1"/>
  <c r="C69" i="9"/>
  <c r="C69" i="10"/>
  <c r="C107" i="5"/>
  <c r="H12" i="9" s="1"/>
  <c r="D134" i="5"/>
  <c r="E135" i="5"/>
  <c r="C149" i="5"/>
  <c r="D149" i="5"/>
  <c r="G42" i="12"/>
  <c r="C12" i="9"/>
  <c r="C69" i="11"/>
  <c r="D191" i="5"/>
  <c r="D205" i="5"/>
  <c r="D69" i="9"/>
  <c r="D42" i="12"/>
  <c r="D12" i="9"/>
  <c r="C12" i="10"/>
  <c r="C190" i="5"/>
  <c r="D12" i="12"/>
  <c r="C163" i="5"/>
  <c r="D42" i="11"/>
  <c r="G12" i="12"/>
  <c r="H42" i="13"/>
  <c r="H42" i="9"/>
  <c r="H12" i="12"/>
  <c r="H69" i="9"/>
  <c r="D69" i="10"/>
  <c r="D12" i="10"/>
  <c r="C12" i="15"/>
  <c r="C69" i="15"/>
  <c r="E120" i="5"/>
  <c r="E177" i="5"/>
  <c r="C204" i="5"/>
  <c r="D12" i="15"/>
  <c r="C233" i="5"/>
  <c r="H42" i="18" s="1"/>
  <c r="D163" i="5"/>
  <c r="D176" i="5"/>
  <c r="E190" i="5"/>
  <c r="C93" i="5"/>
  <c r="E92" i="5"/>
  <c r="C106" i="5"/>
  <c r="E148" i="5"/>
  <c r="C162" i="5"/>
  <c r="C12" i="17"/>
  <c r="E176" i="5"/>
  <c r="C191" i="5"/>
  <c r="E219" i="5"/>
  <c r="C232" i="5"/>
  <c r="D233" i="5"/>
  <c r="C69" i="17"/>
  <c r="H12" i="18"/>
  <c r="C135" i="5"/>
  <c r="D120" i="5"/>
  <c r="E121" i="5"/>
  <c r="C176" i="5"/>
  <c r="D177" i="5"/>
  <c r="D218" i="5"/>
  <c r="D12" i="14"/>
  <c r="E106" i="5"/>
  <c r="C120" i="5"/>
  <c r="D121" i="5"/>
  <c r="E162" i="5"/>
  <c r="C177" i="5"/>
  <c r="E204" i="5"/>
  <c r="C218" i="5"/>
  <c r="D219" i="5"/>
  <c r="G69" i="11"/>
  <c r="C92" i="5"/>
  <c r="E107" i="5"/>
  <c r="C121" i="5"/>
  <c r="D162" i="5"/>
  <c r="E163" i="5"/>
  <c r="D204" i="5"/>
  <c r="E205" i="5"/>
  <c r="C219" i="5"/>
  <c r="D69" i="14"/>
  <c r="D190" i="5"/>
  <c r="E191" i="5"/>
  <c r="C205" i="5"/>
  <c r="E233" i="5"/>
  <c r="E218" i="5"/>
  <c r="D232" i="5"/>
  <c r="E232" i="5"/>
  <c r="C42" i="18"/>
  <c r="I35" i="9"/>
  <c r="D17" i="5"/>
  <c r="E13" i="5"/>
  <c r="D13" i="5"/>
  <c r="E17" i="5"/>
  <c r="E69" i="17"/>
  <c r="E42" i="17"/>
  <c r="E69" i="18"/>
  <c r="E42" i="18"/>
  <c r="E69" i="16"/>
  <c r="E42" i="16"/>
  <c r="E69" i="15"/>
  <c r="E42" i="15"/>
  <c r="E69" i="14"/>
  <c r="E42" i="14"/>
  <c r="E69" i="13"/>
  <c r="E42" i="13"/>
  <c r="E69" i="11"/>
  <c r="E42" i="11"/>
  <c r="E69" i="10"/>
  <c r="E42" i="10"/>
  <c r="E69" i="9"/>
  <c r="E42" i="9"/>
  <c r="E69" i="7"/>
  <c r="E42" i="7"/>
  <c r="E12" i="7"/>
  <c r="E12" i="17"/>
  <c r="E12" i="14"/>
  <c r="E12" i="11"/>
  <c r="E69" i="12"/>
  <c r="E42" i="12"/>
  <c r="E12" i="16"/>
  <c r="E12" i="13"/>
  <c r="E12" i="10"/>
  <c r="E12" i="18"/>
  <c r="E12" i="9"/>
  <c r="E12" i="15"/>
  <c r="E12" i="12"/>
  <c r="C17" i="5"/>
  <c r="I35" i="13"/>
  <c r="I35" i="11"/>
  <c r="I35" i="12"/>
  <c r="I35" i="7"/>
  <c r="I35" i="16"/>
  <c r="I35" i="17"/>
  <c r="E35" i="10"/>
  <c r="E35" i="7"/>
  <c r="E35" i="11"/>
  <c r="E36" i="16"/>
  <c r="E35" i="18"/>
  <c r="E36" i="11"/>
  <c r="E35" i="12"/>
  <c r="I35" i="14"/>
  <c r="I35" i="15"/>
  <c r="I35" i="10"/>
  <c r="E36" i="12"/>
  <c r="E36" i="13"/>
  <c r="E35" i="9"/>
  <c r="E36" i="14"/>
  <c r="E35" i="16"/>
  <c r="I35" i="18"/>
  <c r="E36" i="18"/>
  <c r="E35" i="17"/>
  <c r="E36" i="17"/>
  <c r="E35" i="15"/>
  <c r="E36" i="15"/>
  <c r="D35" i="14"/>
  <c r="E35" i="14" s="1"/>
  <c r="E35" i="13"/>
  <c r="E36" i="10"/>
  <c r="E36" i="9"/>
  <c r="E36" i="7"/>
  <c r="H69" i="12" l="1"/>
  <c r="H42" i="12"/>
  <c r="H12" i="13"/>
  <c r="H69" i="13"/>
  <c r="G69" i="15"/>
  <c r="G42" i="15"/>
  <c r="G12" i="15"/>
  <c r="H69" i="18"/>
  <c r="G12" i="9"/>
  <c r="G42" i="9"/>
  <c r="G69" i="9"/>
  <c r="G69" i="16"/>
  <c r="G12" i="16"/>
  <c r="G42" i="16"/>
  <c r="H12" i="7"/>
  <c r="H42" i="7"/>
  <c r="H69" i="7"/>
  <c r="G12" i="13"/>
  <c r="G69" i="13"/>
  <c r="G42" i="13"/>
  <c r="G42" i="17"/>
  <c r="G69" i="17"/>
  <c r="G12" i="17"/>
  <c r="H42" i="16"/>
  <c r="H12" i="16"/>
  <c r="H69" i="16"/>
  <c r="G42" i="18"/>
  <c r="G69" i="18"/>
  <c r="G12" i="18"/>
  <c r="H42" i="10"/>
  <c r="H69" i="10"/>
  <c r="H12" i="10"/>
  <c r="H12" i="14"/>
  <c r="H42" i="14"/>
  <c r="H69" i="14"/>
  <c r="G69" i="14"/>
  <c r="G12" i="14"/>
  <c r="G42" i="14"/>
  <c r="H12" i="15"/>
  <c r="H42" i="15"/>
  <c r="H69" i="15"/>
  <c r="G12" i="7"/>
  <c r="G42" i="7"/>
  <c r="G69" i="7"/>
  <c r="H69" i="17"/>
  <c r="H12" i="17"/>
  <c r="H42" i="17"/>
  <c r="G42" i="10"/>
  <c r="G69" i="10"/>
  <c r="G12" i="10"/>
  <c r="H42" i="11"/>
  <c r="H69" i="11"/>
  <c r="H12" i="11"/>
  <c r="I12" i="18"/>
  <c r="I69" i="17"/>
  <c r="I42" i="17"/>
  <c r="I12" i="17"/>
  <c r="I12" i="16"/>
  <c r="I12" i="15"/>
  <c r="I12" i="14"/>
  <c r="I12" i="13"/>
  <c r="I12" i="12"/>
  <c r="I12" i="11"/>
  <c r="I12" i="10"/>
  <c r="I12" i="9"/>
  <c r="I12" i="7"/>
  <c r="I69" i="7"/>
  <c r="I69" i="18"/>
  <c r="I42" i="18"/>
  <c r="I69" i="16"/>
  <c r="I42" i="16"/>
  <c r="I69" i="15"/>
  <c r="I42" i="15"/>
  <c r="I69" i="14"/>
  <c r="I42" i="14"/>
  <c r="I69" i="13"/>
  <c r="I42" i="13"/>
  <c r="I69" i="11"/>
  <c r="I42" i="11"/>
  <c r="I69" i="10"/>
  <c r="I42" i="10"/>
  <c r="I69" i="9"/>
  <c r="I42" i="9"/>
  <c r="I42" i="7"/>
  <c r="I69" i="12"/>
  <c r="I42" i="12"/>
  <c r="A88" i="6"/>
  <c r="A87" i="6"/>
  <c r="A86" i="6"/>
  <c r="A85" i="6"/>
  <c r="E83" i="6"/>
  <c r="A83" i="6"/>
  <c r="E82" i="6"/>
  <c r="A82" i="6"/>
  <c r="E81" i="6"/>
  <c r="A81" i="6"/>
  <c r="E80" i="6"/>
  <c r="A80" i="6"/>
  <c r="E79" i="6"/>
  <c r="A79" i="6"/>
  <c r="E78" i="6"/>
  <c r="A78" i="6"/>
  <c r="E77" i="6"/>
  <c r="A77" i="6"/>
  <c r="E76" i="6"/>
  <c r="A76" i="6"/>
  <c r="E75" i="6"/>
  <c r="A75" i="6"/>
  <c r="E74" i="6"/>
  <c r="A74" i="6"/>
  <c r="E73" i="6"/>
  <c r="A73" i="6"/>
  <c r="E72" i="6"/>
  <c r="A72" i="6"/>
  <c r="E71" i="6"/>
  <c r="A71" i="6"/>
  <c r="E70" i="6"/>
  <c r="A70" i="6"/>
  <c r="F69" i="6"/>
  <c r="E69" i="6"/>
  <c r="D69" i="6"/>
  <c r="C69" i="6"/>
  <c r="A66" i="6"/>
  <c r="A63" i="6"/>
  <c r="E61" i="6"/>
  <c r="A61" i="6"/>
  <c r="E60" i="6"/>
  <c r="A60" i="6"/>
  <c r="E59" i="6"/>
  <c r="A59" i="6"/>
  <c r="E58" i="6"/>
  <c r="A58" i="6"/>
  <c r="E57" i="6"/>
  <c r="A57" i="6"/>
  <c r="E56" i="6"/>
  <c r="A56" i="6"/>
  <c r="E55" i="6"/>
  <c r="A55" i="6"/>
  <c r="E54" i="6"/>
  <c r="A54" i="6"/>
  <c r="E53" i="6"/>
  <c r="A53" i="6"/>
  <c r="E52" i="6"/>
  <c r="A52" i="6"/>
  <c r="E51" i="6"/>
  <c r="A51" i="6"/>
  <c r="E50" i="6"/>
  <c r="A50" i="6"/>
  <c r="E49" i="6"/>
  <c r="A49" i="6"/>
  <c r="E48" i="6"/>
  <c r="A48" i="6"/>
  <c r="E47" i="6"/>
  <c r="A47" i="6"/>
  <c r="E46" i="6"/>
  <c r="A46" i="6"/>
  <c r="E45" i="6"/>
  <c r="A45" i="6"/>
  <c r="E44" i="6"/>
  <c r="A44" i="6"/>
  <c r="E43" i="6"/>
  <c r="A43" i="6"/>
  <c r="F42" i="6"/>
  <c r="E42" i="6"/>
  <c r="D42" i="6"/>
  <c r="C42" i="6"/>
  <c r="A39" i="6"/>
  <c r="F36" i="6"/>
  <c r="D36" i="6"/>
  <c r="C36" i="6"/>
  <c r="C35" i="6" s="1"/>
  <c r="A36" i="6"/>
  <c r="D35" i="6"/>
  <c r="A35" i="6"/>
  <c r="E34" i="6"/>
  <c r="A34" i="6"/>
  <c r="E33" i="6"/>
  <c r="A33" i="6"/>
  <c r="E32" i="6"/>
  <c r="A32" i="6"/>
  <c r="E31" i="6"/>
  <c r="A31" i="6"/>
  <c r="E30" i="6"/>
  <c r="A30" i="6"/>
  <c r="E29" i="6"/>
  <c r="A29" i="6"/>
  <c r="E28" i="6"/>
  <c r="A28" i="6"/>
  <c r="E27" i="6"/>
  <c r="A27" i="6"/>
  <c r="E26" i="6"/>
  <c r="A26" i="6"/>
  <c r="E25" i="6"/>
  <c r="A25" i="6"/>
  <c r="E24" i="6"/>
  <c r="A24" i="6"/>
  <c r="E23" i="6"/>
  <c r="A23" i="6"/>
  <c r="E22" i="6"/>
  <c r="A22" i="6"/>
  <c r="E21" i="6"/>
  <c r="A21" i="6"/>
  <c r="E20" i="6"/>
  <c r="A20" i="6"/>
  <c r="E19" i="6"/>
  <c r="A19" i="6"/>
  <c r="E18" i="6"/>
  <c r="A18" i="6"/>
  <c r="E17" i="6"/>
  <c r="A17" i="6"/>
  <c r="E16" i="6"/>
  <c r="A16" i="6"/>
  <c r="E15" i="6"/>
  <c r="A15" i="6"/>
  <c r="E14" i="6"/>
  <c r="A14" i="6"/>
  <c r="E13" i="6"/>
  <c r="A13" i="6"/>
  <c r="F12" i="6"/>
  <c r="E12" i="6"/>
  <c r="D12" i="6"/>
  <c r="C12" i="6"/>
  <c r="A9" i="6"/>
  <c r="A7" i="6"/>
  <c r="E36" i="6" l="1"/>
  <c r="E35" i="6"/>
</calcChain>
</file>

<file path=xl/sharedStrings.xml><?xml version="1.0" encoding="utf-8"?>
<sst xmlns="http://schemas.openxmlformats.org/spreadsheetml/2006/main" count="512" uniqueCount="384">
  <si>
    <t>Davos Klosters</t>
  </si>
  <si>
    <t>Flims Laax</t>
  </si>
  <si>
    <t>Chur</t>
  </si>
  <si>
    <t>Lenzerheide</t>
  </si>
  <si>
    <t>Prättigau</t>
  </si>
  <si>
    <t>Valposchiavo</t>
  </si>
  <si>
    <t>Viamala</t>
  </si>
  <si>
    <t>Bergün Filisur</t>
  </si>
  <si>
    <t>Disentis Sedrun</t>
  </si>
  <si>
    <t>Vals</t>
  </si>
  <si>
    <t>Graubünden</t>
  </si>
  <si>
    <t>San Bernardino, Mesolcina/Calanca</t>
  </si>
  <si>
    <t>Bündner Herrschaft</t>
  </si>
  <si>
    <t>Schweiz</t>
  </si>
  <si>
    <t>Deutschland</t>
  </si>
  <si>
    <t>Niederlande</t>
  </si>
  <si>
    <t>Italien</t>
  </si>
  <si>
    <t>Belgien</t>
  </si>
  <si>
    <t>Frankreich</t>
  </si>
  <si>
    <t>Österreich</t>
  </si>
  <si>
    <t>Japan</t>
  </si>
  <si>
    <t>Luxemburg</t>
  </si>
  <si>
    <t>Polen</t>
  </si>
  <si>
    <t>Russland</t>
  </si>
  <si>
    <t xml:space="preserve">Indien </t>
  </si>
  <si>
    <t>Brasilien</t>
  </si>
  <si>
    <t>Vereinigtes Königreich</t>
  </si>
  <si>
    <t>Arosa</t>
  </si>
  <si>
    <t>Surselva</t>
  </si>
  <si>
    <t>Bregaglia Engadin</t>
  </si>
  <si>
    <t>Engadin St. Moritz</t>
  </si>
  <si>
    <t>Scuol Samnaun Val Müstair</t>
  </si>
  <si>
    <t>Ostschweiz</t>
  </si>
  <si>
    <t>Genf</t>
  </si>
  <si>
    <t>Wallis</t>
  </si>
  <si>
    <t>Tessin</t>
  </si>
  <si>
    <t>Zürich Region</t>
  </si>
  <si>
    <t>Luzern / Vierwaldstättersee</t>
  </si>
  <si>
    <t>Basel Region</t>
  </si>
  <si>
    <t>Bern Region</t>
  </si>
  <si>
    <t>Jura &amp; Drei-Seen-Land</t>
  </si>
  <si>
    <t>Fribourg Region</t>
  </si>
  <si>
    <t>Schweden</t>
  </si>
  <si>
    <t>Norwegen</t>
  </si>
  <si>
    <t>Dänemark</t>
  </si>
  <si>
    <t>Finnland</t>
  </si>
  <si>
    <t>Aktuelle Zuordnung der politischen Gemeinden zu Destinationen:</t>
  </si>
  <si>
    <t>Golfstaaten</t>
  </si>
  <si>
    <t>Tschechien</t>
  </si>
  <si>
    <t>Vereinigte Staaten</t>
  </si>
  <si>
    <t>China / Hongkong / Taiwan (Chin. Taipei)</t>
  </si>
  <si>
    <t>Waadt</t>
  </si>
  <si>
    <t>-</t>
  </si>
  <si>
    <t>Kontakt: Luzius Stricker, 081 257 23 74, luzius.stricker@awt.gr.ch</t>
  </si>
  <si>
    <t>Veränderung zum
5-Jahresmittel 
in %</t>
  </si>
  <si>
    <t>Val Surses</t>
  </si>
  <si>
    <t>Aargau und Solothurn Region</t>
  </si>
  <si>
    <t xml:space="preserve"> 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</si>
  <si>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</si>
  <si>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</si>
  <si>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</si>
  <si>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</si>
  <si>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</si>
  <si>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</si>
  <si>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</si>
  <si>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</si>
  <si>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</si>
  <si>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</si>
  <si>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</si>
  <si>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</si>
  <si>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</si>
  <si>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</si>
  <si>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</si>
  <si>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</si>
  <si>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</si>
  <si>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</si>
  <si>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</si>
  <si>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</si>
  <si>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</si>
  <si>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</si>
  <si>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</si>
  <si>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</si>
  <si>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</si>
  <si>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</si>
  <si>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</si>
  <si>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</si>
  <si>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</si>
  <si>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</si>
  <si>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</si>
  <si>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</si>
  <si>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</si>
  <si>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</si>
  <si>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</si>
  <si>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</si>
  <si>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</si>
  <si>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</si>
  <si>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</si>
  <si>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</si>
  <si>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</si>
  <si>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</si>
  <si>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&lt;Legende_1&gt;</t>
  </si>
  <si>
    <t>&lt;Legende_2&gt;</t>
  </si>
  <si>
    <t>&lt;Legende_3&gt;</t>
  </si>
  <si>
    <t>&lt;Quelle_1&gt;</t>
  </si>
  <si>
    <t>&lt;Aktualisierung&gt;</t>
  </si>
  <si>
    <t>Quelle: BFS (HESTA)</t>
  </si>
  <si>
    <t>&lt;Titel1&gt;</t>
  </si>
  <si>
    <t>&lt;Titel2&gt;</t>
  </si>
  <si>
    <t>&lt;Titel3&gt;</t>
  </si>
  <si>
    <t>&lt;Zeilentitel_28&gt;</t>
  </si>
  <si>
    <t>&lt;Zeilentitel_29&gt;</t>
  </si>
  <si>
    <t>&lt;Zeilentitel_30&gt;</t>
  </si>
  <si>
    <t>&lt;Zeilentitel_31&gt;</t>
  </si>
  <si>
    <t>&lt;Zeilentitel_32&gt;</t>
  </si>
  <si>
    <t>&lt;Zeilentitel_33&gt;</t>
  </si>
  <si>
    <t>&lt;Zeilentitel_34&gt;</t>
  </si>
  <si>
    <t>&lt;Zeilentitel_35&gt;</t>
  </si>
  <si>
    <t>&lt;Zeilentitel_36&gt;</t>
  </si>
  <si>
    <t>&lt;Zeilentitel_37&gt;</t>
  </si>
  <si>
    <t>&lt;Zeilentitel_38&gt;</t>
  </si>
  <si>
    <t>&lt;Zeilentitel_39&gt;</t>
  </si>
  <si>
    <t>&lt;Zeilentitel_40&gt;</t>
  </si>
  <si>
    <t>&lt;Zeilentitel_41&gt;</t>
  </si>
  <si>
    <t>&lt;Zeilentitel_42&gt;</t>
  </si>
  <si>
    <t>&lt;Zeilentitel_43&gt;</t>
  </si>
  <si>
    <t>&lt;Zeilentitel_44&gt;</t>
  </si>
  <si>
    <t>&lt;Zeilentitel_45&gt;</t>
  </si>
  <si>
    <t>&lt;Zeilentitel_46&gt;</t>
  </si>
  <si>
    <t>&lt;Zeilentitel_47&gt;</t>
  </si>
  <si>
    <t>&lt;Zeilentitel_48&gt;</t>
  </si>
  <si>
    <t>&lt;Zeilentitel_49&gt;</t>
  </si>
  <si>
    <t>&lt;Zeilentitel_50&gt;</t>
  </si>
  <si>
    <t>&lt;Zeilentitel_51&gt;</t>
  </si>
  <si>
    <t>&lt;Zeilentitel_52&gt;</t>
  </si>
  <si>
    <t>&lt;Zeilentitel_53&gt;</t>
  </si>
  <si>
    <t>&lt;Zeilentitel_54&gt;</t>
  </si>
  <si>
    <t>&lt;Zeilentitel_55&gt;</t>
  </si>
  <si>
    <t>&lt;Zeilentitel_56&gt;</t>
  </si>
  <si>
    <t>&lt;Zeilentitel_57&gt;</t>
  </si>
  <si>
    <t>&lt;SpaltenTitel_4&gt;</t>
  </si>
  <si>
    <t>&lt;SpaltenTitel_5&gt;</t>
  </si>
  <si>
    <t>&lt;SpaltenTitel_6&gt;</t>
  </si>
  <si>
    <t>&lt;SpaltenTitel_7&gt;</t>
  </si>
  <si>
    <t>&lt;SpaltenTitel_8&gt;</t>
  </si>
  <si>
    <t>Midada a la
media da 5 onns 
en %</t>
  </si>
  <si>
    <t>Variazione alla media quinquennale in %</t>
  </si>
  <si>
    <t>Attribuziun actuala da las vischnancas politicas a destinaziuns:</t>
  </si>
  <si>
    <t>Contact: Luzius Stricker, 081 257 23 74, luzius.stricker@awt.gr.ch</t>
  </si>
  <si>
    <t>Contatto: Luzius Stricker, 081 257 23 74, luzius.stricker@awt.gr.ch</t>
  </si>
  <si>
    <t>Attuale assegnazione dei comuni politici alle destinazioni:</t>
  </si>
  <si>
    <t>Svizra</t>
  </si>
  <si>
    <t>Germania</t>
  </si>
  <si>
    <t>Italia</t>
  </si>
  <si>
    <t>Frantscha</t>
  </si>
  <si>
    <t>Austria</t>
  </si>
  <si>
    <t>Pajais Bass</t>
  </si>
  <si>
    <t>Belgia</t>
  </si>
  <si>
    <t>Reginavel Unì</t>
  </si>
  <si>
    <t>Stadis Unids</t>
  </si>
  <si>
    <t>Pologna</t>
  </si>
  <si>
    <t>Republica Tscheca</t>
  </si>
  <si>
    <t>Russia</t>
  </si>
  <si>
    <t>Svezia</t>
  </si>
  <si>
    <t>Norvegia</t>
  </si>
  <si>
    <t>Danemarc</t>
  </si>
  <si>
    <t>Finlanda</t>
  </si>
  <si>
    <t>Giapun</t>
  </si>
  <si>
    <t>China (incl. Hongkong) / Taiwan</t>
  </si>
  <si>
    <t xml:space="preserve">India </t>
  </si>
  <si>
    <t>Brasilia</t>
  </si>
  <si>
    <t>Stadis dal Golf</t>
  </si>
  <si>
    <t>Ulteriurs pajais d'origin</t>
  </si>
  <si>
    <t>Grischun</t>
  </si>
  <si>
    <t>Svizzera</t>
  </si>
  <si>
    <t>Francia</t>
  </si>
  <si>
    <t>Paesi Bassi</t>
  </si>
  <si>
    <t>Belgio</t>
  </si>
  <si>
    <t>Lussemburgo</t>
  </si>
  <si>
    <t>Regno Unito</t>
  </si>
  <si>
    <t>Stati Uniti</t>
  </si>
  <si>
    <t>Polonia</t>
  </si>
  <si>
    <t>Repubblica Ceca</t>
  </si>
  <si>
    <t>Danimarca</t>
  </si>
  <si>
    <t>Finlandia</t>
  </si>
  <si>
    <t>Giappone</t>
  </si>
  <si>
    <t>Cina (inclusa Hong Kong) / Taiwan</t>
  </si>
  <si>
    <t>Brasile</t>
  </si>
  <si>
    <t>Stati del Golfo</t>
  </si>
  <si>
    <t>Altri paesi di origine</t>
  </si>
  <si>
    <t>Grigioni</t>
  </si>
  <si>
    <t xml:space="preserve">Arosa </t>
  </si>
  <si>
    <t>Bündner Herschaft</t>
  </si>
  <si>
    <t>Val Surses (inkl. Gde Albula/Alvra)</t>
  </si>
  <si>
    <t>Regiun Argovia e Solturn</t>
  </si>
  <si>
    <t>Regione Argovia e Soletta</t>
  </si>
  <si>
    <t>Regiun Basilea</t>
  </si>
  <si>
    <t>Regione Basilea</t>
  </si>
  <si>
    <t>Regiun Berna</t>
  </si>
  <si>
    <t>Regione Berna</t>
  </si>
  <si>
    <t>Regiun da Friburg</t>
  </si>
  <si>
    <t>Regione Friburgo</t>
  </si>
  <si>
    <t>Genevra</t>
  </si>
  <si>
    <t>Ginevra</t>
  </si>
  <si>
    <t>Giura &amp; Trais lais</t>
  </si>
  <si>
    <t>Giura &amp; Tre Laghi</t>
  </si>
  <si>
    <t>Lucerna / Lai dals Quatter Chantuns</t>
  </si>
  <si>
    <t>Lucerna / Lago dei Quattro Cantoni</t>
  </si>
  <si>
    <t>Svizra Orientala</t>
  </si>
  <si>
    <t>Svizzera orientale</t>
  </si>
  <si>
    <t>Ticino</t>
  </si>
  <si>
    <t>Vallais</t>
  </si>
  <si>
    <t>Vallese</t>
  </si>
  <si>
    <t>Vad</t>
  </si>
  <si>
    <t>Vaud</t>
  </si>
  <si>
    <t>Regiun da Turitg</t>
  </si>
  <si>
    <t>Regione Zurigo</t>
  </si>
  <si>
    <r>
      <t xml:space="preserve">Daten des Januar 2024 erscheinen am </t>
    </r>
    <r>
      <rPr>
        <b/>
        <sz val="10"/>
        <rFont val="Arial"/>
        <family val="2"/>
      </rPr>
      <t>7. März 2024.</t>
    </r>
  </si>
  <si>
    <t>Destinationen/destinaziuns/destinazioni</t>
  </si>
  <si>
    <t>Letztmals aktualisiert am: 22.02.2024</t>
  </si>
  <si>
    <t>Ultima actualisaziun: 22.02.2024</t>
  </si>
  <si>
    <t>Ultimo aggiornamento: 22.02.2024</t>
  </si>
  <si>
    <t>Funtauna: UST (HESTA)</t>
  </si>
  <si>
    <t>Fonte: UST (HESTA)</t>
  </si>
  <si>
    <t>T2</t>
  </si>
  <si>
    <t>&lt;T2Titel1&gt;</t>
  </si>
  <si>
    <t>&lt;T3Titel2&gt;</t>
  </si>
  <si>
    <t>&lt;T3Titel3&gt;</t>
  </si>
  <si>
    <t>&lt;T3SpaltenTitel_1&gt;</t>
  </si>
  <si>
    <t>&lt;T3SpaltenTitel_2&gt;</t>
  </si>
  <si>
    <t>&lt;T3SpaltenTitel_5&gt;</t>
  </si>
  <si>
    <t>&lt;T3SpaltenTitel_6&gt;</t>
  </si>
  <si>
    <t>&lt;T3Legende_3&gt;</t>
  </si>
  <si>
    <t>&lt;T3Aktualisierung&gt;</t>
  </si>
  <si>
    <t>&lt;T2Titel2&gt;</t>
  </si>
  <si>
    <t>&lt;T2Titel3&gt;</t>
  </si>
  <si>
    <t>&lt;T2SpaltenTitel_1&gt;</t>
  </si>
  <si>
    <t>&lt;T2SpaltenTitel_2&gt;</t>
  </si>
  <si>
    <t>&lt;T2SpaltenTitel_5&gt;</t>
  </si>
  <si>
    <t>&lt;T2SpaltenTitel_6&gt;</t>
  </si>
  <si>
    <t>&lt;T2Legende_3&gt;</t>
  </si>
  <si>
    <t>&lt;T2Aktualisierung&gt;</t>
  </si>
  <si>
    <t>&lt;T3Titel1&gt;</t>
  </si>
  <si>
    <t>T3</t>
  </si>
  <si>
    <t>T4</t>
  </si>
  <si>
    <t>&lt;T4Titel1&gt;</t>
  </si>
  <si>
    <t>&lt;T4Titel2&gt;</t>
  </si>
  <si>
    <t>&lt;T4Titel3&gt;</t>
  </si>
  <si>
    <t>&lt;T4SpaltenTitel_1&gt;</t>
  </si>
  <si>
    <t>&lt;T4SpaltenTitel_2&gt;</t>
  </si>
  <si>
    <t>&lt;T5SpaltenTitel_5&gt;</t>
  </si>
  <si>
    <t>&lt;T4SpaltenTitel_6&gt;</t>
  </si>
  <si>
    <t>&lt;T4SpaltenTitel_5&gt;</t>
  </si>
  <si>
    <t>&lt;T4Legende_3&gt;</t>
  </si>
  <si>
    <t>&lt;T4Aktualisierung&gt;</t>
  </si>
  <si>
    <t>T5</t>
  </si>
  <si>
    <t>&lt;T5Titel1&gt;</t>
  </si>
  <si>
    <t>&lt;T5Titel2&gt;</t>
  </si>
  <si>
    <t>&lt;T5Titel3&gt;</t>
  </si>
  <si>
    <t>&lt;T5SpaltenTitel_1&gt;</t>
  </si>
  <si>
    <t>&lt;T5SpaltenTitel_2&gt;</t>
  </si>
  <si>
    <t>&lt;T5SpaltenTitel_6&gt;</t>
  </si>
  <si>
    <t>&lt;T5Legende_3&gt;</t>
  </si>
  <si>
    <t>&lt;T5Aktualisierung&gt;</t>
  </si>
  <si>
    <t>T6</t>
  </si>
  <si>
    <t>&lt;T6Titel1&gt;</t>
  </si>
  <si>
    <t>&lt;T6Titel2&gt;</t>
  </si>
  <si>
    <t>&lt;T6Titel3&gt;</t>
  </si>
  <si>
    <t>&lt;T6SpaltenTitel_1&gt;</t>
  </si>
  <si>
    <t>&lt;T6SpaltenTitel_2&gt;</t>
  </si>
  <si>
    <t>&lt;T6SpaltenTitel_5&gt;</t>
  </si>
  <si>
    <t>&lt;T6SpaltenTitel_6&gt;</t>
  </si>
  <si>
    <t>&lt;T6Legende_3&gt;</t>
  </si>
  <si>
    <t>&lt;T6Aktualisierung&gt;</t>
  </si>
  <si>
    <t>T7</t>
  </si>
  <si>
    <t>&lt;T7Titel1&gt;</t>
  </si>
  <si>
    <t>&lt;T7Titel2&gt;</t>
  </si>
  <si>
    <t>&lt;T7Titel3&gt;</t>
  </si>
  <si>
    <t>&lt;T7SpaltenTitel_1&gt;</t>
  </si>
  <si>
    <t>&lt;T7SpaltenTitel_2&gt;</t>
  </si>
  <si>
    <t>&lt;T7SpaltenTitel_5&gt;</t>
  </si>
  <si>
    <t>&lt;T7SpaltenTitel_6&gt;</t>
  </si>
  <si>
    <t>&lt;T8Legende_3&gt;</t>
  </si>
  <si>
    <t>&lt;T7Aktualisierung&gt;</t>
  </si>
  <si>
    <t>&lt;T7Legende_3&gt;</t>
  </si>
  <si>
    <t>T8</t>
  </si>
  <si>
    <t>&lt;T8Titel1&gt;</t>
  </si>
  <si>
    <t>&lt;T8Titel2&gt;</t>
  </si>
  <si>
    <t>&lt;T8Titel3&gt;</t>
  </si>
  <si>
    <t>&lt;T8SpaltenTitel_1&gt;</t>
  </si>
  <si>
    <t>&lt;T8SpaltenTitel_2&gt;</t>
  </si>
  <si>
    <t>&lt;T8SpaltenTitel_5&gt;</t>
  </si>
  <si>
    <t>&lt;T8SpaltenTitel_6&gt;</t>
  </si>
  <si>
    <t>&lt;T8Aktualisierung&gt;</t>
  </si>
  <si>
    <t>T9</t>
  </si>
  <si>
    <t>&lt;T9Titel1&gt;</t>
  </si>
  <si>
    <t>&lt;T9Titel2&gt;</t>
  </si>
  <si>
    <t>&lt;T9Titel3&gt;</t>
  </si>
  <si>
    <t>&lt;T9SpaltenTitel_1&gt;</t>
  </si>
  <si>
    <t>&lt;T9SpaltenTitel_2&gt;</t>
  </si>
  <si>
    <t>&lt;T9SpaltenTitel_5&gt;</t>
  </si>
  <si>
    <t>&lt;T9SpaltenTitel_6&gt;</t>
  </si>
  <si>
    <t>&lt;T9Legende_3&gt;</t>
  </si>
  <si>
    <t>&lt;T9Aktualisierung&gt;</t>
  </si>
  <si>
    <t>T10</t>
  </si>
  <si>
    <t>&lt;T10Titel1&gt;</t>
  </si>
  <si>
    <t>&lt;T10Titel2&gt;</t>
  </si>
  <si>
    <t>&lt;T10Titel3&gt;</t>
  </si>
  <si>
    <t>&lt;T10SpaltenTitel_1&gt;</t>
  </si>
  <si>
    <t>&lt;T10SpaltenTitel_2&gt;</t>
  </si>
  <si>
    <t>&lt;T10SpaltenTitel_5&gt;</t>
  </si>
  <si>
    <t>&lt;T10SpaltenTitel_6&gt;</t>
  </si>
  <si>
    <t>&lt;T10Legende_3&gt;</t>
  </si>
  <si>
    <t>&lt;T10Aktualisierung&gt;</t>
  </si>
  <si>
    <t>T11</t>
  </si>
  <si>
    <t>&lt;T11Titel1&gt;</t>
  </si>
  <si>
    <t>&lt;T11Titel2&gt;</t>
  </si>
  <si>
    <t>&lt;T11Titel3&gt;</t>
  </si>
  <si>
    <t>&lt;T11SpaltenTitel_1&gt;</t>
  </si>
  <si>
    <t>&lt;T11SpaltenTitel_2&gt;</t>
  </si>
  <si>
    <t>&lt;T11SpaltenTitel_5&gt;</t>
  </si>
  <si>
    <t>&lt;T11SpaltenTitel_6&gt;</t>
  </si>
  <si>
    <t>&lt;T11Legende_3&gt;</t>
  </si>
  <si>
    <t>&lt;T11Aktualisierung&gt;</t>
  </si>
  <si>
    <t>&lt;T12Titel1&gt;</t>
  </si>
  <si>
    <t>&lt;T12Titel2&gt;</t>
  </si>
  <si>
    <t>&lt;T12Titel3&gt;</t>
  </si>
  <si>
    <t>&lt;T12SpaltenTitel_1&gt;</t>
  </si>
  <si>
    <t>&lt;T12SpaltenTitel_2&gt;</t>
  </si>
  <si>
    <t>&lt;T12SpaltenTitel_5&gt;</t>
  </si>
  <si>
    <t>&lt;T12SpaltenTitel_6&gt;</t>
  </si>
  <si>
    <t>&lt;T12Legende_3&gt;</t>
  </si>
  <si>
    <t>&lt;T12Aktualisierung&gt;</t>
  </si>
  <si>
    <t>T12</t>
  </si>
  <si>
    <r>
      <t xml:space="preserve">Daten des April 2023 erscheinen am </t>
    </r>
    <r>
      <rPr>
        <b/>
        <sz val="10"/>
        <rFont val="Arial"/>
        <family val="2"/>
      </rPr>
      <t>6. Juni 2023.</t>
    </r>
  </si>
  <si>
    <r>
      <t xml:space="preserve">Daten des Mai 2023 erscheinen am </t>
    </r>
    <r>
      <rPr>
        <b/>
        <sz val="10"/>
        <rFont val="Arial"/>
        <family val="2"/>
      </rPr>
      <t>6. Juli 2023.</t>
    </r>
  </si>
  <si>
    <r>
      <t xml:space="preserve">Datas dal matg 2023 cumparan ils </t>
    </r>
    <r>
      <rPr>
        <b/>
        <sz val="10"/>
        <rFont val="Arial"/>
        <family val="2"/>
      </rPr>
      <t>6 da fanadur 2023</t>
    </r>
    <r>
      <rPr>
        <sz val="10"/>
        <rFont val="Arial"/>
        <family val="2"/>
      </rPr>
      <t>.</t>
    </r>
  </si>
  <si>
    <r>
      <t xml:space="preserve">I dati del maggio 2023 saranno pubblicati il </t>
    </r>
    <r>
      <rPr>
        <b/>
        <sz val="10"/>
        <rFont val="Arial"/>
        <family val="2"/>
      </rPr>
      <t>6 luglio 2023.</t>
    </r>
  </si>
  <si>
    <r>
      <t xml:space="preserve">Daten des Juni 2023 erscheinen am </t>
    </r>
    <r>
      <rPr>
        <b/>
        <sz val="10"/>
        <rFont val="Arial"/>
        <family val="2"/>
      </rPr>
      <t>4. August 2023.</t>
    </r>
  </si>
  <si>
    <r>
      <t xml:space="preserve">I dati del giugno 2023 saranno pubblicati il </t>
    </r>
    <r>
      <rPr>
        <b/>
        <sz val="10"/>
        <rFont val="Arial"/>
        <family val="2"/>
      </rPr>
      <t>4 agosto 2023.</t>
    </r>
  </si>
  <si>
    <r>
      <t xml:space="preserve">Datas dal avrigl 2023 cumparan ils </t>
    </r>
    <r>
      <rPr>
        <b/>
        <sz val="10"/>
        <rFont val="Arial"/>
        <family val="2"/>
      </rPr>
      <t>7 da zercladur 2023.</t>
    </r>
  </si>
  <si>
    <r>
      <t xml:space="preserve">I dati del aprile 2023 saranno pubblicati il </t>
    </r>
    <r>
      <rPr>
        <b/>
        <sz val="10"/>
        <rFont val="Arial"/>
        <family val="2"/>
      </rPr>
      <t>6 giugno 2023.</t>
    </r>
  </si>
  <si>
    <r>
      <t xml:space="preserve">Datas dal zercladur 2023 cumparan ils </t>
    </r>
    <r>
      <rPr>
        <b/>
        <sz val="10"/>
        <rFont val="Arial"/>
        <family val="2"/>
      </rPr>
      <t>4 da avust 2023.</t>
    </r>
  </si>
  <si>
    <r>
      <t xml:space="preserve">Daten des Juli 2023 erscheinen am </t>
    </r>
    <r>
      <rPr>
        <b/>
        <sz val="10"/>
        <rFont val="Arial"/>
        <family val="2"/>
      </rPr>
      <t>5. September 2023.</t>
    </r>
  </si>
  <si>
    <r>
      <t xml:space="preserve">Datas dal fanadur 2023 cumparan ils </t>
    </r>
    <r>
      <rPr>
        <b/>
        <sz val="10"/>
        <rFont val="Arial"/>
        <family val="2"/>
      </rPr>
      <t>5 da september 2023</t>
    </r>
    <r>
      <rPr>
        <sz val="10"/>
        <rFont val="Arial"/>
        <family val="2"/>
      </rPr>
      <t>.</t>
    </r>
  </si>
  <si>
    <r>
      <t xml:space="preserve">I dati del luglio 2023 saranno pubblicati il </t>
    </r>
    <r>
      <rPr>
        <b/>
        <sz val="10"/>
        <rFont val="Arial"/>
        <family val="2"/>
      </rPr>
      <t>5 settembre 2023.</t>
    </r>
  </si>
  <si>
    <r>
      <t xml:space="preserve">Daten des August 2023 erscheinen am </t>
    </r>
    <r>
      <rPr>
        <b/>
        <sz val="10"/>
        <rFont val="Arial"/>
        <family val="2"/>
      </rPr>
      <t>5. Oktober 2023.</t>
    </r>
  </si>
  <si>
    <r>
      <t xml:space="preserve">Datas dal avust 2023 cumparan ils </t>
    </r>
    <r>
      <rPr>
        <b/>
        <sz val="10"/>
        <rFont val="Arial"/>
        <family val="2"/>
      </rPr>
      <t>5 da october 2023</t>
    </r>
    <r>
      <rPr>
        <sz val="10"/>
        <rFont val="Arial"/>
        <family val="2"/>
      </rPr>
      <t>.</t>
    </r>
  </si>
  <si>
    <r>
      <t xml:space="preserve">I dati del agosto 2023 saranno pubblicati il </t>
    </r>
    <r>
      <rPr>
        <b/>
        <sz val="10"/>
        <rFont val="Arial"/>
        <family val="2"/>
      </rPr>
      <t>5 ottobre 2023.</t>
    </r>
  </si>
  <si>
    <r>
      <t xml:space="preserve">Daten des September 2023 erscheinen am </t>
    </r>
    <r>
      <rPr>
        <b/>
        <sz val="10"/>
        <rFont val="Arial"/>
        <family val="2"/>
      </rPr>
      <t>3. November 2023.</t>
    </r>
  </si>
  <si>
    <r>
      <t xml:space="preserve">Datas dal september 2023 cumparan ils </t>
    </r>
    <r>
      <rPr>
        <b/>
        <sz val="10"/>
        <rFont val="Arial"/>
        <family val="2"/>
      </rPr>
      <t>3 da november 2023</t>
    </r>
    <r>
      <rPr>
        <sz val="10"/>
        <rFont val="Arial"/>
        <family val="2"/>
      </rPr>
      <t>.</t>
    </r>
  </si>
  <si>
    <r>
      <t xml:space="preserve">I dati del settembre 2023 saranno pubblicati il </t>
    </r>
    <r>
      <rPr>
        <b/>
        <sz val="10"/>
        <rFont val="Arial"/>
        <family val="2"/>
      </rPr>
      <t>3 novembre 2023.</t>
    </r>
  </si>
  <si>
    <r>
      <t xml:space="preserve">Daten des Oktober 2023 erscheinen am </t>
    </r>
    <r>
      <rPr>
        <b/>
        <sz val="10"/>
        <rFont val="Arial"/>
        <family val="2"/>
      </rPr>
      <t>5. Dezember 2023.</t>
    </r>
  </si>
  <si>
    <r>
      <t xml:space="preserve">Datas dal oktober 2023 cumparan ils </t>
    </r>
    <r>
      <rPr>
        <b/>
        <sz val="10"/>
        <rFont val="Arial"/>
        <family val="2"/>
      </rPr>
      <t>5 da dezember 2023</t>
    </r>
    <r>
      <rPr>
        <sz val="10"/>
        <rFont val="Arial"/>
        <family val="2"/>
      </rPr>
      <t>.</t>
    </r>
  </si>
  <si>
    <r>
      <t xml:space="preserve">I dati del ottobre 2023 saranno pubblicati il </t>
    </r>
    <r>
      <rPr>
        <b/>
        <sz val="10"/>
        <rFont val="Arial"/>
        <family val="2"/>
      </rPr>
      <t>5 dicembre 2023.</t>
    </r>
  </si>
  <si>
    <r>
      <t xml:space="preserve">Daten des November 2023 erscheinen am </t>
    </r>
    <r>
      <rPr>
        <b/>
        <sz val="10"/>
        <rFont val="Arial"/>
        <family val="2"/>
      </rPr>
      <t>16. Januar 2024.</t>
    </r>
  </si>
  <si>
    <r>
      <t xml:space="preserve">Datas dal november 2023 cumparan ils </t>
    </r>
    <r>
      <rPr>
        <b/>
        <sz val="10"/>
        <rFont val="Arial"/>
        <family val="2"/>
      </rPr>
      <t>16 da schaner 2024</t>
    </r>
    <r>
      <rPr>
        <sz val="10"/>
        <rFont val="Arial"/>
        <family val="2"/>
      </rPr>
      <t>.</t>
    </r>
  </si>
  <si>
    <r>
      <t xml:space="preserve">I dati del novembere 2023 saranno pubblicati il </t>
    </r>
    <r>
      <rPr>
        <b/>
        <sz val="10"/>
        <rFont val="Arial"/>
        <family val="2"/>
      </rPr>
      <t>16 gennaio 2024.</t>
    </r>
  </si>
  <si>
    <r>
      <t xml:space="preserve">Daten des Dezember 2023 erscheinen am </t>
    </r>
    <r>
      <rPr>
        <b/>
        <sz val="10"/>
        <rFont val="Arial"/>
        <family val="2"/>
      </rPr>
      <t>22. Februar 2024.</t>
    </r>
  </si>
  <si>
    <r>
      <t xml:space="preserve">Datas dal dezember 2023 cumparan ils </t>
    </r>
    <r>
      <rPr>
        <b/>
        <sz val="10"/>
        <rFont val="Arial"/>
        <family val="2"/>
      </rPr>
      <t>22 da fevrer 2024</t>
    </r>
    <r>
      <rPr>
        <sz val="10"/>
        <rFont val="Arial"/>
        <family val="2"/>
      </rPr>
      <t>.</t>
    </r>
  </si>
  <si>
    <r>
      <t xml:space="preserve">I dati del dicembre 2023 saranno pubblicati il </t>
    </r>
    <r>
      <rPr>
        <b/>
        <sz val="10"/>
        <rFont val="Arial"/>
        <family val="2"/>
      </rPr>
      <t>22 febbraio 2024.</t>
    </r>
  </si>
  <si>
    <r>
      <t xml:space="preserve">Datas dal schaner 2024 cumparan ils </t>
    </r>
    <r>
      <rPr>
        <b/>
        <sz val="10"/>
        <rFont val="Arial"/>
        <family val="2"/>
      </rPr>
      <t>7 da marz 2024</t>
    </r>
    <r>
      <rPr>
        <sz val="10"/>
        <rFont val="Arial"/>
        <family val="2"/>
      </rPr>
      <t>.</t>
    </r>
  </si>
  <si>
    <r>
      <t xml:space="preserve">I dati del gennaio 2024 saranno pubblicati il </t>
    </r>
    <r>
      <rPr>
        <b/>
        <sz val="10"/>
        <rFont val="Arial"/>
        <family val="2"/>
      </rPr>
      <t>7 marzo 2024.</t>
    </r>
  </si>
  <si>
    <t>INPUT JAHRESZAHL</t>
  </si>
  <si>
    <t>&lt;Titelprov&gt;</t>
  </si>
  <si>
    <t>provisorische Ergebnisse</t>
  </si>
  <si>
    <t>resultats provisorics</t>
  </si>
  <si>
    <t>cifre provvisorie</t>
  </si>
  <si>
    <t>wenn definitiv-&gt; Zeile oben mit diesem Text ersetzen</t>
  </si>
  <si>
    <t>definitive Ergebnisse</t>
  </si>
  <si>
    <t>resultats definitivs</t>
  </si>
  <si>
    <t>cifre definitive</t>
  </si>
  <si>
    <t>Übrige Herkunftsländer</t>
  </si>
  <si>
    <r>
      <t xml:space="preserve">Daten des Februar 2024 erscheinen am </t>
    </r>
    <r>
      <rPr>
        <b/>
        <sz val="10"/>
        <rFont val="Arial"/>
        <family val="2"/>
      </rPr>
      <t>8. April 2024.</t>
    </r>
  </si>
  <si>
    <r>
      <t xml:space="preserve">Datas dal fevrer 2024 cumparan ils </t>
    </r>
    <r>
      <rPr>
        <b/>
        <sz val="10"/>
        <rFont val="Arial"/>
        <family val="2"/>
      </rPr>
      <t>8 da avrigl 2024.</t>
    </r>
  </si>
  <si>
    <r>
      <t xml:space="preserve">I dati del febbraio 2024 saranno pubblicati il </t>
    </r>
    <r>
      <rPr>
        <b/>
        <sz val="10"/>
        <rFont val="Arial"/>
        <family val="2"/>
      </rPr>
      <t>8 aprile 2024.</t>
    </r>
  </si>
  <si>
    <t>Letztmals aktualisiert am: 07.03.2024</t>
  </si>
  <si>
    <t>Ultima actualisaziun: 07.03.2024</t>
  </si>
  <si>
    <t>Ultimo aggiornamento: 07.03.2024</t>
  </si>
  <si>
    <r>
      <t xml:space="preserve">Daten des März 2024 erscheinen am </t>
    </r>
    <r>
      <rPr>
        <b/>
        <sz val="10"/>
        <rFont val="Arial"/>
        <family val="2"/>
      </rPr>
      <t>6. Mai 2024.</t>
    </r>
  </si>
  <si>
    <r>
      <t xml:space="preserve">Datas dal mars 2024 cumparan ils </t>
    </r>
    <r>
      <rPr>
        <b/>
        <sz val="10"/>
        <rFont val="Arial"/>
        <family val="2"/>
      </rPr>
      <t>6 da matg 2024</t>
    </r>
    <r>
      <rPr>
        <sz val="10"/>
        <rFont val="Arial"/>
        <family val="2"/>
      </rPr>
      <t>.</t>
    </r>
  </si>
  <si>
    <r>
      <t xml:space="preserve">I dati del marzo 2024 saranno pubblicati il </t>
    </r>
    <r>
      <rPr>
        <b/>
        <sz val="10"/>
        <rFont val="Arial"/>
        <family val="2"/>
      </rPr>
      <t>6 maggio 2024</t>
    </r>
    <r>
      <rPr>
        <sz val="10"/>
        <rFont val="Arial"/>
        <family val="2"/>
      </rPr>
      <t>.</t>
    </r>
  </si>
  <si>
    <t>Letztmals aktualisiert am: 08.04.2024</t>
  </si>
  <si>
    <t>Ultima actualisaziun: 08.04.2024</t>
  </si>
  <si>
    <t>Ultimo aggiornamento: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</si>
</sst>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\ ###\ ###\ ##0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0"/>
      <name val="Helv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Segoe UI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0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1" fillId="0" borderId="0"/>
    <xf numFmtId="0" fontId="8" fillId="0" borderId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Border="0" applyAlignment="0"/>
    <xf numFmtId="43" fontId="14" fillId="0" borderId="0" applyFont="0" applyFill="0" applyBorder="0" applyAlignment="0" applyProtection="0"/>
  </cellStyleXfs>
  <cellXfs count="125">
    <xf numFmtId="0" fontId="0" fillId="0" borderId="0" xfId="0"/>
    <xf numFmtId="0" fontId="6" fillId="2" borderId="0" xfId="1" applyFont="1" applyFill="1" applyBorder="1"/>
    <xf numFmtId="0" fontId="7" fillId="2" borderId="0" xfId="1" applyFont="1" applyFill="1" applyAlignment="1" applyProtection="1">
      <alignment horizontal="left"/>
      <protection locked="0"/>
    </xf>
    <xf numFmtId="0" fontId="3" fillId="2" borderId="0" xfId="1" applyFill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2" borderId="16" xfId="6" applyNumberFormat="1" applyFont="1" applyFill="1" applyBorder="1" applyAlignment="1">
      <alignment horizontal="right" vertical="center"/>
    </xf>
    <xf numFmtId="164" fontId="0" fillId="2" borderId="17" xfId="6" applyNumberFormat="1" applyFont="1" applyFill="1" applyBorder="1" applyAlignment="1">
      <alignment horizontal="right" vertical="center"/>
    </xf>
    <xf numFmtId="164" fontId="0" fillId="2" borderId="21" xfId="6" applyNumberFormat="1" applyFont="1" applyFill="1" applyBorder="1" applyAlignment="1">
      <alignment horizontal="right" vertical="center"/>
    </xf>
    <xf numFmtId="165" fontId="2" fillId="2" borderId="6" xfId="5" applyNumberFormat="1" applyFont="1" applyFill="1" applyBorder="1" applyAlignment="1">
      <alignment horizontal="right" vertical="center"/>
    </xf>
    <xf numFmtId="165" fontId="2" fillId="2" borderId="9" xfId="5" applyNumberFormat="1" applyFont="1" applyFill="1" applyBorder="1" applyAlignment="1">
      <alignment horizontal="right" vertical="center"/>
    </xf>
    <xf numFmtId="165" fontId="0" fillId="2" borderId="0" xfId="0" applyNumberFormat="1" applyFill="1"/>
    <xf numFmtId="166" fontId="0" fillId="2" borderId="0" xfId="0" applyNumberFormat="1" applyFill="1"/>
    <xf numFmtId="165" fontId="0" fillId="2" borderId="4" xfId="5" applyNumberFormat="1" applyFont="1" applyFill="1" applyBorder="1" applyAlignment="1">
      <alignment horizontal="right" vertical="center"/>
    </xf>
    <xf numFmtId="165" fontId="0" fillId="2" borderId="8" xfId="5" applyNumberFormat="1" applyFont="1" applyFill="1" applyBorder="1" applyAlignment="1">
      <alignment horizontal="right" vertical="center"/>
    </xf>
    <xf numFmtId="165" fontId="0" fillId="2" borderId="5" xfId="5" applyNumberFormat="1" applyFont="1" applyFill="1" applyBorder="1" applyAlignment="1">
      <alignment horizontal="right" vertical="center"/>
    </xf>
    <xf numFmtId="17" fontId="2" fillId="3" borderId="13" xfId="0" applyNumberFormat="1" applyFont="1" applyFill="1" applyBorder="1" applyAlignment="1">
      <alignment horizontal="right" vertical="center" wrapText="1"/>
    </xf>
    <xf numFmtId="17" fontId="0" fillId="3" borderId="14" xfId="0" applyNumberFormat="1" applyFill="1" applyBorder="1" applyAlignment="1">
      <alignment horizontal="right" vertical="center" wrapText="1"/>
    </xf>
    <xf numFmtId="0" fontId="0" fillId="3" borderId="15" xfId="0" applyNumberFormat="1" applyFill="1" applyBorder="1" applyAlignment="1">
      <alignment horizontal="right" vertical="center" wrapText="1"/>
    </xf>
    <xf numFmtId="0" fontId="0" fillId="3" borderId="18" xfId="0" applyNumberForma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/>
    </xf>
    <xf numFmtId="0" fontId="0" fillId="2" borderId="22" xfId="0" applyFill="1" applyBorder="1"/>
    <xf numFmtId="0" fontId="2" fillId="2" borderId="23" xfId="0" applyFont="1" applyFill="1" applyBorder="1" applyAlignment="1">
      <alignment vertical="center"/>
    </xf>
    <xf numFmtId="0" fontId="0" fillId="2" borderId="0" xfId="0" applyNumberFormat="1" applyFill="1"/>
    <xf numFmtId="0" fontId="0" fillId="2" borderId="0" xfId="0" applyNumberFormat="1" applyFill="1" applyBorder="1"/>
    <xf numFmtId="165" fontId="2" fillId="2" borderId="0" xfId="5" applyNumberFormat="1" applyFont="1" applyFill="1" applyBorder="1" applyAlignment="1">
      <alignment horizontal="right" vertical="center"/>
    </xf>
    <xf numFmtId="165" fontId="2" fillId="2" borderId="7" xfId="5" applyNumberFormat="1" applyFont="1" applyFill="1" applyBorder="1" applyAlignment="1">
      <alignment horizontal="right" vertical="center"/>
    </xf>
    <xf numFmtId="0" fontId="2" fillId="2" borderId="0" xfId="0" applyFont="1" applyFill="1"/>
    <xf numFmtId="165" fontId="2" fillId="2" borderId="24" xfId="5" applyNumberFormat="1" applyFont="1" applyFill="1" applyBorder="1" applyAlignment="1">
      <alignment horizontal="right" vertical="center"/>
    </xf>
    <xf numFmtId="164" fontId="0" fillId="2" borderId="4" xfId="6" applyNumberFormat="1" applyFont="1" applyFill="1" applyBorder="1" applyAlignment="1">
      <alignment horizontal="right" vertical="center"/>
    </xf>
    <xf numFmtId="0" fontId="13" fillId="2" borderId="0" xfId="3" applyFont="1" applyFill="1" applyBorder="1"/>
    <xf numFmtId="0" fontId="2" fillId="2" borderId="0" xfId="0" applyFont="1" applyFill="1" applyBorder="1"/>
    <xf numFmtId="165" fontId="1" fillId="2" borderId="0" xfId="5" applyNumberFormat="1" applyFont="1" applyFill="1" applyBorder="1" applyAlignment="1">
      <alignment horizontal="right" vertical="center"/>
    </xf>
    <xf numFmtId="164" fontId="1" fillId="2" borderId="0" xfId="6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/>
    <xf numFmtId="165" fontId="1" fillId="2" borderId="5" xfId="5" applyNumberFormat="1" applyFont="1" applyFill="1" applyBorder="1" applyAlignment="1">
      <alignment horizontal="right" vertical="center"/>
    </xf>
    <xf numFmtId="164" fontId="1" fillId="2" borderId="26" xfId="6" applyNumberFormat="1" applyFont="1" applyFill="1" applyBorder="1" applyAlignment="1">
      <alignment horizontal="right" vertical="center"/>
    </xf>
    <xf numFmtId="165" fontId="2" fillId="2" borderId="27" xfId="5" applyNumberFormat="1" applyFont="1" applyFill="1" applyBorder="1" applyAlignment="1">
      <alignment horizontal="right" vertical="center"/>
    </xf>
    <xf numFmtId="164" fontId="0" fillId="2" borderId="8" xfId="6" applyNumberFormat="1" applyFont="1" applyFill="1" applyBorder="1" applyAlignment="1">
      <alignment horizontal="right" vertical="center"/>
    </xf>
    <xf numFmtId="164" fontId="0" fillId="2" borderId="19" xfId="0" applyNumberFormat="1" applyFill="1" applyBorder="1" applyAlignment="1">
      <alignment horizontal="right" vertical="center"/>
    </xf>
    <xf numFmtId="164" fontId="0" fillId="2" borderId="25" xfId="0" applyNumberFormat="1" applyFont="1" applyFill="1" applyBorder="1" applyAlignment="1">
      <alignment horizontal="right" vertical="center"/>
    </xf>
    <xf numFmtId="164" fontId="0" fillId="2" borderId="28" xfId="0" applyNumberFormat="1" applyFill="1" applyBorder="1" applyAlignment="1">
      <alignment horizontal="right" vertical="center"/>
    </xf>
    <xf numFmtId="164" fontId="0" fillId="2" borderId="20" xfId="6" applyNumberFormat="1" applyFont="1" applyFill="1" applyBorder="1" applyAlignment="1">
      <alignment horizontal="right" vertical="center"/>
    </xf>
    <xf numFmtId="164" fontId="0" fillId="2" borderId="28" xfId="6" applyNumberFormat="1" applyFont="1" applyFill="1" applyBorder="1" applyAlignment="1">
      <alignment horizontal="right" vertical="center"/>
    </xf>
    <xf numFmtId="0" fontId="12" fillId="2" borderId="0" xfId="10" applyFill="1"/>
    <xf numFmtId="0" fontId="7" fillId="2" borderId="0" xfId="0" applyFont="1" applyFill="1"/>
    <xf numFmtId="165" fontId="2" fillId="2" borderId="6" xfId="5" applyNumberFormat="1" applyFont="1" applyFill="1" applyBorder="1" applyAlignment="1"/>
    <xf numFmtId="165" fontId="0" fillId="2" borderId="4" xfId="5" applyNumberFormat="1" applyFont="1" applyFill="1" applyBorder="1" applyAlignment="1"/>
    <xf numFmtId="164" fontId="0" fillId="2" borderId="16" xfId="6" applyNumberFormat="1" applyFont="1" applyFill="1" applyBorder="1" applyAlignment="1"/>
    <xf numFmtId="164" fontId="0" fillId="2" borderId="19" xfId="0" applyNumberFormat="1" applyFill="1" applyBorder="1" applyAlignment="1"/>
    <xf numFmtId="165" fontId="0" fillId="2" borderId="6" xfId="5" applyNumberFormat="1" applyFont="1" applyFill="1" applyBorder="1" applyAlignment="1"/>
    <xf numFmtId="165" fontId="2" fillId="2" borderId="9" xfId="5" applyNumberFormat="1" applyFont="1" applyFill="1" applyBorder="1" applyAlignment="1"/>
    <xf numFmtId="165" fontId="1" fillId="2" borderId="9" xfId="5" applyNumberFormat="1" applyFont="1" applyFill="1" applyBorder="1" applyAlignment="1"/>
    <xf numFmtId="164" fontId="0" fillId="2" borderId="28" xfId="0" applyNumberFormat="1" applyFill="1" applyBorder="1" applyAlignment="1">
      <alignment horizontal="right"/>
    </xf>
    <xf numFmtId="165" fontId="2" fillId="2" borderId="6" xfId="5" applyNumberFormat="1" applyFont="1" applyFill="1" applyBorder="1" applyAlignment="1">
      <alignment horizontal="right"/>
    </xf>
    <xf numFmtId="0" fontId="0" fillId="5" borderId="2" xfId="0" applyFill="1" applyBorder="1"/>
    <xf numFmtId="165" fontId="2" fillId="5" borderId="6" xfId="5" applyNumberFormat="1" applyFont="1" applyFill="1" applyBorder="1" applyAlignment="1">
      <alignment horizontal="right" vertical="center"/>
    </xf>
    <xf numFmtId="165" fontId="0" fillId="5" borderId="4" xfId="5" applyNumberFormat="1" applyFont="1" applyFill="1" applyBorder="1" applyAlignment="1">
      <alignment horizontal="right" vertical="center"/>
    </xf>
    <xf numFmtId="164" fontId="0" fillId="5" borderId="16" xfId="6" applyNumberFormat="1" applyFont="1" applyFill="1" applyBorder="1" applyAlignment="1">
      <alignment horizontal="right" vertical="center"/>
    </xf>
    <xf numFmtId="164" fontId="0" fillId="5" borderId="19" xfId="0" applyNumberFormat="1" applyFill="1" applyBorder="1" applyAlignment="1">
      <alignment horizontal="right" vertical="center"/>
    </xf>
    <xf numFmtId="164" fontId="1" fillId="2" borderId="21" xfId="6" applyNumberFormat="1" applyFont="1" applyFill="1" applyBorder="1" applyAlignment="1">
      <alignment horizontal="right" vertical="center"/>
    </xf>
    <xf numFmtId="164" fontId="1" fillId="2" borderId="20" xfId="6" applyNumberFormat="1" applyFont="1" applyFill="1" applyBorder="1" applyAlignment="1">
      <alignment horizontal="right" vertical="center"/>
    </xf>
    <xf numFmtId="0" fontId="12" fillId="0" borderId="0" xfId="10"/>
    <xf numFmtId="0" fontId="3" fillId="2" borderId="0" xfId="0" applyFont="1" applyFill="1"/>
    <xf numFmtId="0" fontId="5" fillId="2" borderId="0" xfId="0" applyFont="1" applyFill="1"/>
    <xf numFmtId="0" fontId="3" fillId="0" borderId="0" xfId="0" applyFont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center"/>
    </xf>
    <xf numFmtId="164" fontId="0" fillId="2" borderId="16" xfId="0" applyNumberFormat="1" applyFill="1" applyBorder="1" applyAlignment="1"/>
    <xf numFmtId="164" fontId="0" fillId="2" borderId="17" xfId="0" applyNumberFormat="1" applyFill="1" applyBorder="1" applyAlignment="1">
      <alignment horizontal="right"/>
    </xf>
    <xf numFmtId="164" fontId="0" fillId="2" borderId="29" xfId="6" applyNumberFormat="1" applyFont="1" applyFill="1" applyBorder="1" applyAlignment="1">
      <alignment horizontal="right" vertical="center"/>
    </xf>
    <xf numFmtId="0" fontId="0" fillId="3" borderId="11" xfId="0" applyNumberFormat="1" applyFill="1" applyBorder="1" applyAlignment="1">
      <alignment horizontal="right" vertical="center" wrapText="1"/>
    </xf>
    <xf numFmtId="165" fontId="2" fillId="2" borderId="30" xfId="5" applyNumberFormat="1" applyFont="1" applyFill="1" applyBorder="1" applyAlignment="1"/>
    <xf numFmtId="165" fontId="2" fillId="2" borderId="30" xfId="5" applyNumberFormat="1" applyFont="1" applyFill="1" applyBorder="1" applyAlignment="1">
      <alignment horizontal="right"/>
    </xf>
    <xf numFmtId="165" fontId="2" fillId="2" borderId="31" xfId="5" applyNumberFormat="1" applyFont="1" applyFill="1" applyBorder="1" applyAlignment="1"/>
    <xf numFmtId="165" fontId="2" fillId="2" borderId="32" xfId="5" applyNumberFormat="1" applyFont="1" applyFill="1" applyBorder="1" applyAlignment="1">
      <alignment horizontal="right" vertical="center"/>
    </xf>
    <xf numFmtId="164" fontId="0" fillId="2" borderId="16" xfId="0" applyNumberFormat="1" applyFill="1" applyBorder="1" applyAlignment="1">
      <alignment horizontal="right" vertical="center"/>
    </xf>
    <xf numFmtId="164" fontId="0" fillId="2" borderId="17" xfId="0" applyNumberFormat="1" applyFill="1" applyBorder="1" applyAlignment="1">
      <alignment horizontal="right" vertical="center"/>
    </xf>
    <xf numFmtId="164" fontId="1" fillId="2" borderId="29" xfId="6" applyNumberFormat="1" applyFont="1" applyFill="1" applyBorder="1" applyAlignment="1">
      <alignment horizontal="right" vertical="center"/>
    </xf>
    <xf numFmtId="165" fontId="2" fillId="2" borderId="30" xfId="5" applyNumberFormat="1" applyFont="1" applyFill="1" applyBorder="1" applyAlignment="1">
      <alignment horizontal="right" vertical="center"/>
    </xf>
    <xf numFmtId="165" fontId="2" fillId="2" borderId="31" xfId="5" applyNumberFormat="1" applyFont="1" applyFill="1" applyBorder="1" applyAlignment="1">
      <alignment horizontal="right" vertical="center"/>
    </xf>
    <xf numFmtId="164" fontId="0" fillId="5" borderId="16" xfId="0" applyNumberFormat="1" applyFill="1" applyBorder="1" applyAlignment="1">
      <alignment horizontal="right" vertical="center"/>
    </xf>
    <xf numFmtId="164" fontId="0" fillId="2" borderId="26" xfId="0" applyNumberFormat="1" applyFont="1" applyFill="1" applyBorder="1" applyAlignment="1">
      <alignment horizontal="right" vertical="center"/>
    </xf>
    <xf numFmtId="165" fontId="2" fillId="5" borderId="30" xfId="5" applyNumberFormat="1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8" borderId="0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NumberFormat="1" applyFill="1" applyBorder="1" applyAlignment="1">
      <alignment horizontal="right" vertical="center" wrapText="1"/>
    </xf>
    <xf numFmtId="165" fontId="0" fillId="2" borderId="0" xfId="5" applyNumberFormat="1" applyFont="1" applyFill="1" applyBorder="1" applyAlignment="1">
      <alignment horizontal="right" vertical="center"/>
    </xf>
    <xf numFmtId="164" fontId="0" fillId="2" borderId="0" xfId="6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165" fontId="2" fillId="2" borderId="0" xfId="5" applyNumberFormat="1" applyFont="1" applyFill="1" applyBorder="1" applyAlignment="1"/>
    <xf numFmtId="165" fontId="0" fillId="2" borderId="0" xfId="5" applyNumberFormat="1" applyFont="1" applyFill="1" applyBorder="1" applyAlignment="1"/>
    <xf numFmtId="164" fontId="0" fillId="2" borderId="0" xfId="6" applyNumberFormat="1" applyFont="1" applyFill="1" applyBorder="1" applyAlignment="1"/>
    <xf numFmtId="164" fontId="0" fillId="2" borderId="0" xfId="0" applyNumberFormat="1" applyFill="1" applyBorder="1" applyAlignment="1"/>
    <xf numFmtId="165" fontId="2" fillId="2" borderId="0" xfId="5" applyNumberFormat="1" applyFont="1" applyFill="1" applyBorder="1" applyAlignment="1">
      <alignment horizontal="right"/>
    </xf>
    <xf numFmtId="165" fontId="1" fillId="2" borderId="0" xfId="5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0" fontId="3" fillId="7" borderId="34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0" fillId="5" borderId="1" xfId="0" applyFill="1" applyBorder="1"/>
    <xf numFmtId="0" fontId="13" fillId="10" borderId="0" xfId="0" applyFont="1" applyFill="1" applyBorder="1" applyAlignment="1">
      <alignment horizontal="left" vertical="top" wrapText="1"/>
    </xf>
    <xf numFmtId="0" fontId="1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right" vertical="top" wrapText="1"/>
    </xf>
    <xf numFmtId="0" fontId="16" fillId="10" borderId="3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 wrapText="1"/>
    </xf>
    <xf numFmtId="0" fontId="17" fillId="11" borderId="0" xfId="0" applyFont="1" applyFill="1" applyBorder="1" applyAlignment="1">
      <alignment horizontal="left" vertical="top" wrapText="1"/>
    </xf>
    <xf numFmtId="0" fontId="9" fillId="8" borderId="0" xfId="0" applyFont="1" applyFill="1" applyAlignment="1">
      <alignment horizontal="left" vertical="center"/>
    </xf>
    <xf numFmtId="0" fontId="18" fillId="8" borderId="0" xfId="0" applyFont="1" applyFill="1" applyAlignment="1">
      <alignment horizontal="left" vertical="top"/>
    </xf>
    <xf numFmtId="165" fontId="18" fillId="8" borderId="0" xfId="5" applyNumberFormat="1" applyFont="1" applyFill="1" applyBorder="1" applyAlignment="1" applyProtection="1">
      <alignment horizontal="left" vertical="top"/>
    </xf>
    <xf numFmtId="0" fontId="1" fillId="2" borderId="0" xfId="0" applyFont="1" applyFill="1"/>
    <xf numFmtId="0" fontId="5" fillId="2" borderId="0" xfId="1" applyFont="1" applyFill="1" applyBorder="1" applyAlignment="1">
      <alignment horizontal="left" vertical="top" wrapText="1"/>
    </xf>
  </cellXfs>
  <cellStyles count="13">
    <cellStyle name="Komma" xfId="5" builtinId="3"/>
    <cellStyle name="Komma 2" xfId="12"/>
    <cellStyle name="Link" xfId="10" builtinId="8"/>
    <cellStyle name="Prozent" xfId="6" builtinId="5"/>
    <cellStyle name="Prozent 2" xfId="7"/>
    <cellStyle name="Standard" xfId="0" builtinId="0"/>
    <cellStyle name="Standard 2" xfId="2"/>
    <cellStyle name="Standard 2 2" xfId="4"/>
    <cellStyle name="Standard 2 3" xfId="8"/>
    <cellStyle name="Standard 3" xfId="1"/>
    <cellStyle name="Standard 3 2" xfId="9"/>
    <cellStyle name="Standard 4" xfId="3"/>
    <cellStyle name="Standard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0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1" name="Option Button 1" hidden="1">
                <a:extLst>
                  <a:ext uri="{63B3BB69-23CF-44E3-9099-C40C66FF867C}">
                    <a14:compatExt spid="_x0000_s1536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Option Button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Option Button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6" name="Option Button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7" name="Option Button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Option Button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Option Button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Option Button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34925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466725</xdr:colOff>
      <xdr:row>0</xdr:row>
      <xdr:rowOff>19050</xdr:rowOff>
    </xdr:from>
    <xdr:to>
      <xdr:col>8</xdr:col>
      <xdr:colOff>410189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00675" y="19050"/>
          <a:ext cx="244853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Option Button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Option Button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5" name="Option Button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37" name="Option Button 1" hidden="1">
                <a:extLst>
                  <a:ext uri="{63B3BB69-23CF-44E3-9099-C40C66FF867C}">
                    <a14:compatExt spid="_x0000_s1433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38" name="Option Button 2" hidden="1">
                <a:extLst>
                  <a:ext uri="{63B3BB69-23CF-44E3-9099-C40C66FF867C}">
                    <a14:compatExt spid="_x0000_s1433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39" name="Option Button 3" hidden="1">
                <a:extLst>
                  <a:ext uri="{63B3BB69-23CF-44E3-9099-C40C66FF867C}">
                    <a14:compatExt spid="_x0000_s1433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13" name="Option Button 1" hidden="1">
                <a:extLst>
                  <a:ext uri="{63B3BB69-23CF-44E3-9099-C40C66FF867C}">
                    <a14:compatExt spid="_x0000_s1331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14" name="Option Button 2" hidden="1">
                <a:extLst>
                  <a:ext uri="{63B3BB69-23CF-44E3-9099-C40C66FF867C}">
                    <a14:compatExt spid="_x0000_s1331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15" name="Option Button 3" hidden="1">
                <a:extLst>
                  <a:ext uri="{63B3BB69-23CF-44E3-9099-C40C66FF867C}">
                    <a14:compatExt spid="_x0000_s1331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89" name="Option Button 1" hidden="1">
                <a:extLst>
                  <a:ext uri="{63B3BB69-23CF-44E3-9099-C40C66FF867C}">
                    <a14:compatExt spid="_x0000_s1228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0" name="Option Button 2" hidden="1">
                <a:extLst>
                  <a:ext uri="{63B3BB69-23CF-44E3-9099-C40C66FF867C}">
                    <a14:compatExt spid="_x0000_s1229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1" name="Option Button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65" name="Option Button 1" hidden="1">
                <a:extLst>
                  <a:ext uri="{63B3BB69-23CF-44E3-9099-C40C66FF867C}">
                    <a14:compatExt spid="_x0000_s1126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66" name="Option Button 2" hidden="1">
                <a:extLst>
                  <a:ext uri="{63B3BB69-23CF-44E3-9099-C40C66FF867C}">
                    <a14:compatExt spid="_x0000_s1126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67" name="Option Button 3" hidden="1">
                <a:extLst>
                  <a:ext uri="{63B3BB69-23CF-44E3-9099-C40C66FF867C}">
                    <a14:compatExt spid="_x0000_s1126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1" name="Option Button 1" hidden="1">
                <a:extLst>
                  <a:ext uri="{63B3BB69-23CF-44E3-9099-C40C66FF867C}">
                    <a14:compatExt spid="_x0000_s1024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2" name="Option Button 2" hidden="1">
                <a:extLst>
                  <a:ext uri="{63B3BB69-23CF-44E3-9099-C40C66FF867C}">
                    <a14:compatExt spid="_x0000_s1024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3" name="Option Button 3" hidden="1">
                <a:extLst>
                  <a:ext uri="{63B3BB69-23CF-44E3-9099-C40C66FF867C}">
                    <a14:compatExt spid="_x0000_s1024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7" name="Option Button 1" hidden="1">
                <a:extLst>
                  <a:ext uri="{63B3BB69-23CF-44E3-9099-C40C66FF867C}">
                    <a14:compatExt spid="_x0000_s921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8" name="Option Button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9" name="Option Button 3" hidden="1">
                <a:extLst>
                  <a:ext uri="{63B3BB69-23CF-44E3-9099-C40C66FF867C}">
                    <a14:compatExt spid="_x0000_s921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Option Button 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4" name="Option Button 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5" name="Option Button 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0</xdr:col>
      <xdr:colOff>781049</xdr:colOff>
      <xdr:row>4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85725"/>
          <a:ext cx="733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873125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0</xdr:row>
      <xdr:rowOff>19050</xdr:rowOff>
    </xdr:from>
    <xdr:to>
      <xdr:col>8</xdr:col>
      <xdr:colOff>276839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3877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Option Button 1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Option Button 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Option Button 3" hidden="1">
                <a:extLst>
                  <a:ext uri="{63B3BB69-23CF-44E3-9099-C40C66FF867C}">
                    <a14:compatExt spid="_x0000_s717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3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36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r.ch/DE/institutionen/verwaltung/dvs/awt/statistik/Grundlagen_und_Uebersichten/Seiten/Gliederungen.aspx" TargetMode="External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J90"/>
  <sheetViews>
    <sheetView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VLOOKUP("&lt;T12Titel1&gt;",Uebersetzungen!$B$4:$E$303,Uebersetzungen!$B$2+1,FALSE)</f>
        <v>Hotel- und Kurbetriebe: Logiernächte im Dezember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VLOOKUP("&lt;T12SpaltenTitel_1&gt;",Uebersetzungen!$B$4:$E$303,Uebersetzungen!$B$2+1,FALSE)</f>
        <v>Dezember 2024</v>
      </c>
      <c r="D12" s="21" t="str">
        <f>VLOOKUP("&lt;T12SpaltenTitel_2&gt;",Uebersetzungen!$B$4:$E$303,Uebersetzungen!$B$2+1,FALSE)</f>
        <v>Dezember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VLOOKUP("&lt;T12SpaltenTitel_5&gt;",Uebersetzungen!$B$4:$E$303,Uebersetzungen!$B$2+1,FALSE)</f>
        <v>Januar-Dezember 24</v>
      </c>
      <c r="H12" s="22" t="str">
        <f>VLOOKUP("&lt;T12SpaltenTitel_6&gt;",Uebersetzungen!$B$4:$E$303,Uebersetzungen!$B$2+1,FALSE)</f>
        <v>Januar-Dezember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VLOOKUP("&lt;T12Titel2&gt;",Uebersetzungen!$B$4:$E$303,Uebersetzungen!$B$2+1,FALSE)</f>
        <v>Hotel- und Kurbetriebe: Logiernächte im Dezember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VLOOKUP("&lt;T12SpaltenTitel_1&gt;",Uebersetzungen!$B$4:$E$303,Uebersetzungen!$B$2+1,FALSE)</f>
        <v>Dezember 2024</v>
      </c>
      <c r="D42" s="21" t="str">
        <f>VLOOKUP("&lt;T12SpaltenTitel_2&gt;",Uebersetzungen!$B$4:$E$303,Uebersetzungen!$B$2+1,FALSE)</f>
        <v>Dezember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VLOOKUP("&lt;T12SpaltenTitel_5&gt;",Uebersetzungen!$B$4:$E$303,Uebersetzungen!$B$2+1,FALSE)</f>
        <v>Januar-Dezember 24</v>
      </c>
      <c r="H42" s="22" t="str">
        <f>VLOOKUP("&lt;T12SpaltenTitel_6&gt;",Uebersetzungen!$B$4:$E$303,Uebersetzungen!$B$2+1,FALSE)</f>
        <v>Januar-Dezember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VLOOKUP("&lt;T12Titel3&gt;",Uebersetzungen!$B$4:$E$303,Uebersetzungen!$B$2+1,FALSE)</f>
        <v>Hotel- und Kurbetriebe: Logiernächte im Dezember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VLOOKUP("&lt;T12SpaltenTitel_1&gt;",Uebersetzungen!$B$4:$E$303,Uebersetzungen!$B$2+1,FALSE)</f>
        <v>Dezember 2024</v>
      </c>
      <c r="D69" s="21" t="str">
        <f>VLOOKUP("&lt;T12SpaltenTitel_2&gt;",Uebersetzungen!$B$4:$E$303,Uebersetzungen!$B$2+1,FALSE)</f>
        <v>Dezember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VLOOKUP("&lt;T12SpaltenTitel_5&gt;",Uebersetzungen!$B$4:$E$303,Uebersetzungen!$B$2+1,FALSE)</f>
        <v>Januar-Dezember 24</v>
      </c>
      <c r="H69" s="22" t="str">
        <f>VLOOKUP("&lt;T12SpaltenTitel_6&gt;",Uebersetzungen!$B$4:$E$303,Uebersetzungen!$B$2+1,FALSE)</f>
        <v>Januar-Dezember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VLOOKUP("&lt;T12Aktualisierung&gt;",Uebersetzungen!$B$4:$E$303,Uebersetzungen!$B$2+1,FALSE)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VLOOKUP("&lt;T12Legende_3&gt;",Uebersetzungen!$B$4:$E$303,Uebersetzungen!$B$2+1,FALSE)</f>
        <v>Daten des Januar 2024 erscheinen am 7. März 2024.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90"/>
  <sheetViews>
    <sheetView topLeftCell="A31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VLOOKUP("&lt;T3Titel1&gt;",Uebersetzungen!$B$4:$E$303,Uebersetzungen!$B$2+1,FALSE)</f>
        <v>Hotel- und Kurbetriebe: Logiernächte im März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VLOOKUP("&lt;T3SpaltenTitel_1&gt;",Uebersetzungen!$B$4:$E$303,Uebersetzungen!$B$2+1,FALSE)</f>
        <v>März 2024</v>
      </c>
      <c r="D12" s="21" t="str">
        <f>VLOOKUP("&lt;T3SpaltenTitel_2&gt;",Uebersetzungen!$B$4:$E$303,Uebersetzungen!$B$2+1,FALSE)</f>
        <v>März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VLOOKUP("&lt;T3SpaltenTitel_5&gt;",Uebersetzungen!$B$4:$E$303,Uebersetzungen!$B$2+1,FALSE)</f>
        <v>Januar-März 24</v>
      </c>
      <c r="H12" s="22" t="str">
        <f>VLOOKUP("&lt;T3SpaltenTitel_6&gt;",Uebersetzungen!$B$4:$E$303,Uebersetzungen!$B$2+1,FALSE)</f>
        <v>Januar-März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VLOOKUP("&lt;T3Titel2&gt;",Uebersetzungen!$B$4:$E$303,Uebersetzungen!$B$2+1,FALSE)</f>
        <v>Hotel- und Kurbetriebe: Logiernächte im März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VLOOKUP("&lt;T3SpaltenTitel_1&gt;",Uebersetzungen!$B$4:$E$303,Uebersetzungen!$B$2+1,FALSE)</f>
        <v>März 2024</v>
      </c>
      <c r="D42" s="21" t="str">
        <f>VLOOKUP("&lt;T3SpaltenTitel_2&gt;",Uebersetzungen!$B$4:$E$303,Uebersetzungen!$B$2+1,FALSE)</f>
        <v>März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VLOOKUP("&lt;T3SpaltenTitel_5&gt;",Uebersetzungen!$B$4:$E$303,Uebersetzungen!$B$2+1,FALSE)</f>
        <v>Januar-März 24</v>
      </c>
      <c r="H42" s="22" t="str">
        <f>VLOOKUP("&lt;T3SpaltenTitel_6&gt;",Uebersetzungen!$B$4:$E$303,Uebersetzungen!$B$2+1,FALSE)</f>
        <v>Januar-März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VLOOKUP("&lt;T3Titel3&gt;",Uebersetzungen!$B$4:$E$303,Uebersetzungen!$B$2+1,FALSE)</f>
        <v>Hotel- und Kurbetriebe: Logiernächte im März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VLOOKUP("&lt;T3SpaltenTitel_1&gt;",Uebersetzungen!$B$4:$E$303,Uebersetzungen!$B$2+1,FALSE)</f>
        <v>März 2024</v>
      </c>
      <c r="D69" s="21" t="str">
        <f>VLOOKUP("&lt;T3SpaltenTitel_2&gt;",Uebersetzungen!$B$4:$E$303,Uebersetzungen!$B$2+1,FALSE)</f>
        <v>März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VLOOKUP("&lt;T3SpaltenTitel_5&gt;",Uebersetzungen!$B$4:$E$303,Uebersetzungen!$B$2+1,FALSE)</f>
        <v>Januar-März 24</v>
      </c>
      <c r="H69" s="22" t="str">
        <f>VLOOKUP("&lt;T3SpaltenTitel_6&gt;",Uebersetzungen!$B$4:$E$303,Uebersetzungen!$B$2+1,FALSE)</f>
        <v>Januar-März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VLOOKUP("&lt;T3Aktualisierung&gt;",Uebersetzungen!$B$4:$E$303,Uebersetzungen!$B$2+1,FALSE)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VLOOKUP("&lt;T3Legende_3&gt;",Uebersetzungen!$B$4:$E$303,Uebersetzungen!$B$2+1,FALSE)</f>
        <v>Daten des April 2023 erscheinen am 6. Juni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J90"/>
  <sheetViews>
    <sheetView tabSelected="1" zoomScaleNormal="100" workbookViewId="0"/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VLOOKUP("&lt;T2Titel1&gt;",Uebersetzungen!$B$4:$E$303,Uebersetzungen!$B$2+1,FALSE)</f>
        <v>Hotel- und Kurbetriebe: Logiernächte im Februar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VLOOKUP("&lt;T2SpaltenTitel_1&gt;",Uebersetzungen!$B$4:$E$303,Uebersetzungen!$B$2+1,FALSE)</f>
        <v>Februar 2024</v>
      </c>
      <c r="D12" s="21" t="str">
        <f>VLOOKUP("&lt;T2SpaltenTitel_2&gt;",Uebersetzungen!$B$4:$E$303,Uebersetzungen!$B$2+1,FALSE)</f>
        <v>Februar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VLOOKUP("&lt;T2SpaltenTitel_5&gt;",Uebersetzungen!$B$4:$E$303,Uebersetzungen!$B$2+1,FALSE)</f>
        <v>Januar-Februar 24</v>
      </c>
      <c r="H12" s="22" t="str">
        <f>VLOOKUP("&lt;T2SpaltenTitel_6&gt;",Uebersetzungen!$B$4:$E$303,Uebersetzungen!$B$2+1,FALSE)</f>
        <v>Januar-Februar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>
        <v>545297</v>
      </c>
      <c r="D13" s="52">
        <v>544997</v>
      </c>
      <c r="E13" s="53">
        <f t="shared" ref="E13:E36" si="0">C13/D13-1</f>
        <v>5.5046174566109052E-4</v>
      </c>
      <c r="F13" s="72">
        <v>1.4998911099157075E-2</v>
      </c>
      <c r="G13" s="76">
        <v>994793</v>
      </c>
      <c r="H13" s="52">
        <v>986142</v>
      </c>
      <c r="I13" s="53">
        <f t="shared" ref="I13:I36" si="1">G13/H13-1</f>
        <v>8.7725702789254179E-3</v>
      </c>
      <c r="J13" s="54">
        <v>7.8173084197153075E-2</v>
      </c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>
        <v>117758</v>
      </c>
      <c r="D14" s="52">
        <v>105102</v>
      </c>
      <c r="E14" s="53">
        <f t="shared" si="0"/>
        <v>0.12041635744324553</v>
      </c>
      <c r="F14" s="72">
        <v>0.29032611530294039</v>
      </c>
      <c r="G14" s="76">
        <v>222520</v>
      </c>
      <c r="H14" s="52">
        <v>207309</v>
      </c>
      <c r="I14" s="53">
        <f t="shared" si="1"/>
        <v>7.3373563135223252E-2</v>
      </c>
      <c r="J14" s="54">
        <v>0.2739524472001329</v>
      </c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>
        <v>15197</v>
      </c>
      <c r="D15" s="52">
        <v>12537</v>
      </c>
      <c r="E15" s="53">
        <f t="shared" si="0"/>
        <v>0.21217197096594087</v>
      </c>
      <c r="F15" s="72">
        <v>0.43359809822085538</v>
      </c>
      <c r="G15" s="76">
        <v>30568</v>
      </c>
      <c r="H15" s="52">
        <v>28008</v>
      </c>
      <c r="I15" s="53">
        <f t="shared" si="1"/>
        <v>9.1402456441016744E-2</v>
      </c>
      <c r="J15" s="54">
        <v>0.38267941631460367</v>
      </c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>
        <v>10653</v>
      </c>
      <c r="D16" s="52">
        <v>8753</v>
      </c>
      <c r="E16" s="53">
        <f t="shared" si="0"/>
        <v>0.21706843367988116</v>
      </c>
      <c r="F16" s="72">
        <v>4.8275997795796277E-2</v>
      </c>
      <c r="G16" s="76">
        <v>18240</v>
      </c>
      <c r="H16" s="52">
        <v>15544</v>
      </c>
      <c r="I16" s="53">
        <f t="shared" si="1"/>
        <v>0.17344312918167781</v>
      </c>
      <c r="J16" s="54">
        <v>0.17497004599389321</v>
      </c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>
        <v>4808</v>
      </c>
      <c r="D17" s="52">
        <v>4798</v>
      </c>
      <c r="E17" s="53">
        <f t="shared" si="0"/>
        <v>2.0842017507294308E-3</v>
      </c>
      <c r="F17" s="72">
        <v>9.5965352176886176E-2</v>
      </c>
      <c r="G17" s="76">
        <v>8863</v>
      </c>
      <c r="H17" s="52">
        <v>9234</v>
      </c>
      <c r="I17" s="53">
        <f t="shared" si="1"/>
        <v>-4.0177604505089892E-2</v>
      </c>
      <c r="J17" s="54">
        <v>0.1292172051778615</v>
      </c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>
        <v>18957</v>
      </c>
      <c r="D18" s="52">
        <v>14276</v>
      </c>
      <c r="E18" s="53">
        <f t="shared" si="0"/>
        <v>0.327892967217708</v>
      </c>
      <c r="F18" s="72">
        <v>0.33490599253573694</v>
      </c>
      <c r="G18" s="76">
        <v>29941</v>
      </c>
      <c r="H18" s="52">
        <v>25057</v>
      </c>
      <c r="I18" s="53">
        <f t="shared" si="1"/>
        <v>0.19491559244921586</v>
      </c>
      <c r="J18" s="54">
        <v>0.32319536145802963</v>
      </c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>
        <v>12551</v>
      </c>
      <c r="D19" s="52">
        <v>12379</v>
      </c>
      <c r="E19" s="53">
        <f t="shared" si="0"/>
        <v>1.3894498747879513E-2</v>
      </c>
      <c r="F19" s="72">
        <v>0.34206586826347296</v>
      </c>
      <c r="G19" s="76">
        <v>18683</v>
      </c>
      <c r="H19" s="52">
        <v>18614</v>
      </c>
      <c r="I19" s="53">
        <f t="shared" si="1"/>
        <v>3.7068872891372617E-3</v>
      </c>
      <c r="J19" s="54">
        <v>0.31263524716859159</v>
      </c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>
        <v>4652</v>
      </c>
      <c r="D20" s="52">
        <v>4458</v>
      </c>
      <c r="E20" s="53">
        <f t="shared" si="0"/>
        <v>4.3517272319425704E-2</v>
      </c>
      <c r="F20" s="72">
        <v>-8.9271730618637468E-2</v>
      </c>
      <c r="G20" s="76">
        <v>7667</v>
      </c>
      <c r="H20" s="52">
        <v>7419</v>
      </c>
      <c r="I20" s="53">
        <f t="shared" si="1"/>
        <v>3.3427685671923335E-2</v>
      </c>
      <c r="J20" s="54">
        <v>7.4050207329373618E-2</v>
      </c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>
        <v>34995</v>
      </c>
      <c r="D21" s="52">
        <v>33254</v>
      </c>
      <c r="E21" s="53">
        <f t="shared" si="0"/>
        <v>5.2354603957418755E-2</v>
      </c>
      <c r="F21" s="72">
        <v>0.21635430859494464</v>
      </c>
      <c r="G21" s="76">
        <v>55394</v>
      </c>
      <c r="H21" s="52">
        <v>55414</v>
      </c>
      <c r="I21" s="53">
        <f t="shared" si="1"/>
        <v>-3.6091962319995119E-4</v>
      </c>
      <c r="J21" s="54">
        <v>0.2325719041070895</v>
      </c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>
        <v>15167</v>
      </c>
      <c r="D22" s="52">
        <v>11919</v>
      </c>
      <c r="E22" s="53">
        <f t="shared" si="0"/>
        <v>0.27250608272506072</v>
      </c>
      <c r="F22" s="72">
        <v>0.78481489326649267</v>
      </c>
      <c r="G22" s="76">
        <v>35754</v>
      </c>
      <c r="H22" s="52">
        <v>30127</v>
      </c>
      <c r="I22" s="53">
        <f t="shared" si="1"/>
        <v>0.18677598167756493</v>
      </c>
      <c r="J22" s="54">
        <v>0.71597235553849115</v>
      </c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>
        <v>4431</v>
      </c>
      <c r="D23" s="52">
        <v>4366</v>
      </c>
      <c r="E23" s="53">
        <f t="shared" si="0"/>
        <v>1.4887769125057293E-2</v>
      </c>
      <c r="F23" s="72">
        <v>-0.46809276865456639</v>
      </c>
      <c r="G23" s="76">
        <v>10929</v>
      </c>
      <c r="H23" s="52">
        <v>9134</v>
      </c>
      <c r="I23" s="53">
        <f t="shared" si="1"/>
        <v>0.19651850229910228</v>
      </c>
      <c r="J23" s="54">
        <v>-0.40377733164579066</v>
      </c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>
        <v>3714</v>
      </c>
      <c r="D24" s="52">
        <v>2723</v>
      </c>
      <c r="E24" s="53">
        <f t="shared" si="0"/>
        <v>0.36393683437385227</v>
      </c>
      <c r="F24" s="72">
        <v>0.55475552578700582</v>
      </c>
      <c r="G24" s="76">
        <v>5965</v>
      </c>
      <c r="H24" s="52">
        <v>4817</v>
      </c>
      <c r="I24" s="53">
        <f t="shared" si="1"/>
        <v>0.23832260743201172</v>
      </c>
      <c r="J24" s="54">
        <v>0.26104604456471159</v>
      </c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>
        <v>1352</v>
      </c>
      <c r="D25" s="52">
        <v>2159</v>
      </c>
      <c r="E25" s="53">
        <f t="shared" si="0"/>
        <v>-0.37378415933302456</v>
      </c>
      <c r="F25" s="72">
        <v>-0.56923469062639387</v>
      </c>
      <c r="G25" s="76">
        <v>4361</v>
      </c>
      <c r="H25" s="52">
        <v>4569</v>
      </c>
      <c r="I25" s="53">
        <f t="shared" si="1"/>
        <v>-4.5524184723134131E-2</v>
      </c>
      <c r="J25" s="54">
        <v>-0.61772440392706873</v>
      </c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>
        <v>3105</v>
      </c>
      <c r="D26" s="52">
        <v>2524</v>
      </c>
      <c r="E26" s="53">
        <f t="shared" si="0"/>
        <v>0.23019017432646582</v>
      </c>
      <c r="F26" s="72">
        <v>9.362200117027486E-3</v>
      </c>
      <c r="G26" s="76">
        <v>5211</v>
      </c>
      <c r="H26" s="52">
        <v>4372</v>
      </c>
      <c r="I26" s="53">
        <f t="shared" si="1"/>
        <v>0.19190301921317476</v>
      </c>
      <c r="J26" s="54">
        <v>9.816235353620506E-2</v>
      </c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>
        <v>967</v>
      </c>
      <c r="D27" s="52">
        <v>908</v>
      </c>
      <c r="E27" s="53">
        <f t="shared" si="0"/>
        <v>6.4977973568281833E-2</v>
      </c>
      <c r="F27" s="72">
        <v>-3.876739562624254E-2</v>
      </c>
      <c r="G27" s="76">
        <v>1739</v>
      </c>
      <c r="H27" s="52">
        <v>1715</v>
      </c>
      <c r="I27" s="53">
        <f t="shared" si="1"/>
        <v>1.3994169096209985E-2</v>
      </c>
      <c r="J27" s="54">
        <v>-3.4490687514365792E-4</v>
      </c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>
        <v>2483</v>
      </c>
      <c r="D28" s="52">
        <v>2494</v>
      </c>
      <c r="E28" s="53">
        <f t="shared" si="0"/>
        <v>-4.4105854049719673E-3</v>
      </c>
      <c r="F28" s="72">
        <v>-0.25471245047424662</v>
      </c>
      <c r="G28" s="76">
        <v>3545</v>
      </c>
      <c r="H28" s="52">
        <v>3689</v>
      </c>
      <c r="I28" s="53">
        <f t="shared" si="1"/>
        <v>-3.9034968826240135E-2</v>
      </c>
      <c r="J28" s="54">
        <v>-0.16811376542920164</v>
      </c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>
        <v>1277</v>
      </c>
      <c r="D29" s="52">
        <v>1389</v>
      </c>
      <c r="E29" s="53">
        <f t="shared" si="0"/>
        <v>-8.0633549316054709E-2</v>
      </c>
      <c r="F29" s="72">
        <v>-0.15250862755508354</v>
      </c>
      <c r="G29" s="76">
        <v>2069</v>
      </c>
      <c r="H29" s="52">
        <v>2112</v>
      </c>
      <c r="I29" s="53">
        <f t="shared" si="1"/>
        <v>-2.0359848484848508E-2</v>
      </c>
      <c r="J29" s="54">
        <v>1.7207472959685388E-2</v>
      </c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>
        <v>684</v>
      </c>
      <c r="D30" s="52">
        <v>420</v>
      </c>
      <c r="E30" s="53">
        <f t="shared" si="0"/>
        <v>0.62857142857142856</v>
      </c>
      <c r="F30" s="72">
        <v>0.84267241379310343</v>
      </c>
      <c r="G30" s="76">
        <v>1647</v>
      </c>
      <c r="H30" s="52">
        <v>1416</v>
      </c>
      <c r="I30" s="53">
        <f t="shared" si="1"/>
        <v>0.16313559322033888</v>
      </c>
      <c r="J30" s="54">
        <v>0.39458086367485179</v>
      </c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>
        <v>2399</v>
      </c>
      <c r="D31" s="52">
        <v>1184</v>
      </c>
      <c r="E31" s="53">
        <f t="shared" si="0"/>
        <v>1.0261824324324325</v>
      </c>
      <c r="F31" s="72">
        <v>0.5354582693292369</v>
      </c>
      <c r="G31" s="76">
        <v>4670</v>
      </c>
      <c r="H31" s="52">
        <v>3238</v>
      </c>
      <c r="I31" s="53">
        <f t="shared" si="1"/>
        <v>0.44224830142062999</v>
      </c>
      <c r="J31" s="54">
        <v>0.21166519640911208</v>
      </c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>
        <v>560</v>
      </c>
      <c r="D32" s="52">
        <v>311</v>
      </c>
      <c r="E32" s="53">
        <f t="shared" si="0"/>
        <v>0.80064308681672025</v>
      </c>
      <c r="F32" s="72">
        <v>-0.54677889284558101</v>
      </c>
      <c r="G32" s="77">
        <v>1832</v>
      </c>
      <c r="H32" s="52">
        <v>1299</v>
      </c>
      <c r="I32" s="53">
        <f t="shared" si="1"/>
        <v>0.41031562740569671</v>
      </c>
      <c r="J32" s="54">
        <v>-5.4988135768080038E-2</v>
      </c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>
        <v>4671</v>
      </c>
      <c r="D33" s="52">
        <v>4040</v>
      </c>
      <c r="E33" s="53">
        <f t="shared" si="0"/>
        <v>0.15618811881188122</v>
      </c>
      <c r="F33" s="72">
        <v>0.53853754940711474</v>
      </c>
      <c r="G33" s="76">
        <v>15554</v>
      </c>
      <c r="H33" s="52">
        <v>11938</v>
      </c>
      <c r="I33" s="53">
        <f t="shared" si="1"/>
        <v>0.30289830792427552</v>
      </c>
      <c r="J33" s="54">
        <v>0.81794805862689657</v>
      </c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>
        <v>5788</v>
      </c>
      <c r="D34" s="55">
        <v>2847</v>
      </c>
      <c r="E34" s="53">
        <f t="shared" si="0"/>
        <v>1.0330172110994029</v>
      </c>
      <c r="F34" s="72">
        <v>2.0747981300467488</v>
      </c>
      <c r="G34" s="77">
        <v>10421</v>
      </c>
      <c r="H34" s="55">
        <v>5672</v>
      </c>
      <c r="I34" s="53">
        <f t="shared" si="1"/>
        <v>0.83727080394922426</v>
      </c>
      <c r="J34" s="54">
        <v>1.7811582599412863</v>
      </c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32754</v>
      </c>
      <c r="D35" s="57">
        <f>D36-SUM(D13:D34)</f>
        <v>30446</v>
      </c>
      <c r="E35" s="53">
        <f t="shared" si="0"/>
        <v>7.5806345661170615E-2</v>
      </c>
      <c r="F35" s="73" t="s">
        <v>52</v>
      </c>
      <c r="G35" s="78">
        <f>G36-SUM(G13:G34)</f>
        <v>74234</v>
      </c>
      <c r="H35" s="57">
        <f>H36-SUM(H13:H34)</f>
        <v>68874</v>
      </c>
      <c r="I35" s="53">
        <f t="shared" si="1"/>
        <v>7.7823271481255674E-2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844220</v>
      </c>
      <c r="D36" s="19">
        <f>D61</f>
        <v>808284</v>
      </c>
      <c r="E36" s="12">
        <f t="shared" si="0"/>
        <v>4.4459620628392926E-2</v>
      </c>
      <c r="F36" s="74">
        <f>F61</f>
        <v>9.3817576488325116E-2</v>
      </c>
      <c r="G36" s="79">
        <f t="shared" ref="G36:H36" si="2">G61</f>
        <v>1564600</v>
      </c>
      <c r="H36" s="19">
        <f t="shared" si="2"/>
        <v>1505713</v>
      </c>
      <c r="I36" s="12">
        <f t="shared" si="1"/>
        <v>3.9109046677554105E-2</v>
      </c>
      <c r="J36" s="47">
        <f>J61</f>
        <v>0.14283426989354098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VLOOKUP("&lt;T2Titel2&gt;",Uebersetzungen!$B$4:$E$303,Uebersetzungen!$B$2+1,FALSE)</f>
        <v>Hotel- und Kurbetriebe: Logiernächte im Februar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VLOOKUP("&lt;T2SpaltenTitel_1&gt;",Uebersetzungen!$B$4:$E$303,Uebersetzungen!$B$2+1,FALSE)</f>
        <v>Februar 2024</v>
      </c>
      <c r="D42" s="21" t="str">
        <f>VLOOKUP("&lt;T2SpaltenTitel_2&gt;",Uebersetzungen!$B$4:$E$303,Uebersetzungen!$B$2+1,FALSE)</f>
        <v>Februar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VLOOKUP("&lt;T2SpaltenTitel_5&gt;",Uebersetzungen!$B$4:$E$303,Uebersetzungen!$B$2+1,FALSE)</f>
        <v>Januar-Februar 24</v>
      </c>
      <c r="H42" s="22" t="str">
        <f>VLOOKUP("&lt;T2SpaltenTitel_6&gt;",Uebersetzungen!$B$4:$E$303,Uebersetzungen!$B$2+1,FALSE)</f>
        <v>Januar-Februar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>
        <v>84419</v>
      </c>
      <c r="D43" s="17">
        <v>83478</v>
      </c>
      <c r="E43" s="10">
        <f>C43/D43-1</f>
        <v>1.1272431059680343E-2</v>
      </c>
      <c r="F43" s="80">
        <v>0.11226323611564948</v>
      </c>
      <c r="G43" s="83">
        <v>157457</v>
      </c>
      <c r="H43" s="17">
        <v>152798</v>
      </c>
      <c r="I43" s="10">
        <f>G43/H43-1</f>
        <v>3.0491236796293064E-2</v>
      </c>
      <c r="J43" s="44">
        <v>0.16658146444103639</v>
      </c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>
        <v>7950</v>
      </c>
      <c r="D44" s="17">
        <v>9180</v>
      </c>
      <c r="E44" s="10">
        <f t="shared" ref="E44:E61" si="3">C44/D44-1</f>
        <v>-0.13398692810457513</v>
      </c>
      <c r="F44" s="80">
        <v>-0.12150813295615281</v>
      </c>
      <c r="G44" s="83">
        <v>15179</v>
      </c>
      <c r="H44" s="17">
        <v>17960</v>
      </c>
      <c r="I44" s="10">
        <f t="shared" ref="I44:I61" si="4">G44/H44-1</f>
        <v>-0.15484409799554566</v>
      </c>
      <c r="J44" s="44">
        <v>-6.7354011010617443E-2</v>
      </c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>
        <v>383</v>
      </c>
      <c r="D45" s="17">
        <v>322</v>
      </c>
      <c r="E45" s="10">
        <f t="shared" si="3"/>
        <v>0.18944099378881996</v>
      </c>
      <c r="F45" s="80">
        <v>0.30716723549488045</v>
      </c>
      <c r="G45" s="83">
        <v>686</v>
      </c>
      <c r="H45" s="17">
        <v>524</v>
      </c>
      <c r="I45" s="10">
        <f t="shared" si="4"/>
        <v>0.30916030534351147</v>
      </c>
      <c r="J45" s="44">
        <v>0.53536257833482548</v>
      </c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>
        <v>3922</v>
      </c>
      <c r="D46" s="17">
        <v>4057</v>
      </c>
      <c r="E46" s="10">
        <f t="shared" si="3"/>
        <v>-3.3275819571111698E-2</v>
      </c>
      <c r="F46" s="80">
        <v>0.25672904383491413</v>
      </c>
      <c r="G46" s="83">
        <v>8030</v>
      </c>
      <c r="H46" s="17">
        <v>6892</v>
      </c>
      <c r="I46" s="10">
        <f t="shared" si="4"/>
        <v>0.16511897852582713</v>
      </c>
      <c r="J46" s="44">
        <v>0.39598762212718586</v>
      </c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>
        <v>24454</v>
      </c>
      <c r="D47" s="17">
        <v>16403</v>
      </c>
      <c r="E47" s="10">
        <f t="shared" si="3"/>
        <v>0.4908248491129672</v>
      </c>
      <c r="F47" s="80">
        <v>0.65902306648575304</v>
      </c>
      <c r="G47" s="83">
        <v>42141</v>
      </c>
      <c r="H47" s="17">
        <v>31465</v>
      </c>
      <c r="I47" s="10">
        <f t="shared" si="4"/>
        <v>0.33929763228984577</v>
      </c>
      <c r="J47" s="44">
        <v>0.55542021924482343</v>
      </c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>
        <v>150089</v>
      </c>
      <c r="D48" s="17">
        <v>145730</v>
      </c>
      <c r="E48" s="10">
        <f t="shared" si="3"/>
        <v>2.9911480134495294E-2</v>
      </c>
      <c r="F48" s="80">
        <v>-1.4980481927078348E-2</v>
      </c>
      <c r="G48" s="83">
        <v>283888</v>
      </c>
      <c r="H48" s="17">
        <v>278135</v>
      </c>
      <c r="I48" s="10">
        <f t="shared" si="4"/>
        <v>2.0684200118647356E-2</v>
      </c>
      <c r="J48" s="44">
        <v>7.3218604855130209E-2</v>
      </c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>
        <v>29448</v>
      </c>
      <c r="D49" s="17">
        <v>28165</v>
      </c>
      <c r="E49" s="10">
        <f t="shared" si="3"/>
        <v>4.5552991301260448E-2</v>
      </c>
      <c r="F49" s="80">
        <v>0.35880398671096336</v>
      </c>
      <c r="G49" s="83">
        <v>47966</v>
      </c>
      <c r="H49" s="17">
        <v>46278</v>
      </c>
      <c r="I49" s="10">
        <f t="shared" si="4"/>
        <v>3.6475215004969863E-2</v>
      </c>
      <c r="J49" s="44">
        <v>0.37495915196615193</v>
      </c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>
        <v>79446</v>
      </c>
      <c r="D50" s="17">
        <v>74155</v>
      </c>
      <c r="E50" s="10">
        <f t="shared" si="3"/>
        <v>7.1350549524644258E-2</v>
      </c>
      <c r="F50" s="80">
        <v>9.6917430888651346E-2</v>
      </c>
      <c r="G50" s="83">
        <v>144107</v>
      </c>
      <c r="H50" s="17">
        <v>137389</v>
      </c>
      <c r="I50" s="10">
        <f t="shared" si="4"/>
        <v>4.8897655561944475E-2</v>
      </c>
      <c r="J50" s="44">
        <v>0.14320551631348799</v>
      </c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>
        <v>255862</v>
      </c>
      <c r="D51" s="17">
        <v>240512</v>
      </c>
      <c r="E51" s="10">
        <f t="shared" si="3"/>
        <v>6.3822179350718544E-2</v>
      </c>
      <c r="F51" s="80">
        <v>0.1482571185460968</v>
      </c>
      <c r="G51" s="83">
        <v>483259</v>
      </c>
      <c r="H51" s="17">
        <v>459108</v>
      </c>
      <c r="I51" s="10">
        <f t="shared" si="4"/>
        <v>5.2604180280021229E-2</v>
      </c>
      <c r="J51" s="44">
        <v>0.1848335306180291</v>
      </c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>
        <v>80085</v>
      </c>
      <c r="D52" s="17">
        <v>82275</v>
      </c>
      <c r="E52" s="10">
        <f t="shared" si="3"/>
        <v>-2.6618049225159535E-2</v>
      </c>
      <c r="F52" s="80">
        <v>5.822555242686045E-3</v>
      </c>
      <c r="G52" s="83">
        <v>147596</v>
      </c>
      <c r="H52" s="17">
        <v>150957</v>
      </c>
      <c r="I52" s="10">
        <f t="shared" si="4"/>
        <v>-2.2264618401266589E-2</v>
      </c>
      <c r="J52" s="44">
        <v>3.1960890698676137E-2</v>
      </c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>
        <v>55357</v>
      </c>
      <c r="D53" s="17">
        <v>54028</v>
      </c>
      <c r="E53" s="10">
        <f t="shared" si="3"/>
        <v>2.4598356407788513E-2</v>
      </c>
      <c r="F53" s="80">
        <v>1.9345786132021203E-2</v>
      </c>
      <c r="G53" s="83">
        <v>104501</v>
      </c>
      <c r="H53" s="17">
        <v>101587</v>
      </c>
      <c r="I53" s="10">
        <f t="shared" si="4"/>
        <v>2.8684772657918911E-2</v>
      </c>
      <c r="J53" s="44">
        <v>7.6324587550185008E-2</v>
      </c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>
        <v>13085</v>
      </c>
      <c r="D54" s="17">
        <v>13465</v>
      </c>
      <c r="E54" s="10">
        <f t="shared" si="3"/>
        <v>-2.8221314519123686E-2</v>
      </c>
      <c r="F54" s="80">
        <v>0.24759253256040115</v>
      </c>
      <c r="G54" s="83">
        <v>22992</v>
      </c>
      <c r="H54" s="17">
        <v>23531</v>
      </c>
      <c r="I54" s="10">
        <f t="shared" si="4"/>
        <v>-2.2905953848115224E-2</v>
      </c>
      <c r="J54" s="44">
        <v>0.25059832035159468</v>
      </c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>
        <v>2999</v>
      </c>
      <c r="D55" s="17">
        <v>2302</v>
      </c>
      <c r="E55" s="10">
        <f t="shared" si="3"/>
        <v>0.3027801911381407</v>
      </c>
      <c r="F55" s="80">
        <v>0.21064104634264491</v>
      </c>
      <c r="G55" s="83">
        <v>5361</v>
      </c>
      <c r="H55" s="17">
        <v>4497</v>
      </c>
      <c r="I55" s="10">
        <f t="shared" si="4"/>
        <v>0.19212808539026027</v>
      </c>
      <c r="J55" s="44">
        <v>0.2061827836025738</v>
      </c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>
        <v>15373</v>
      </c>
      <c r="D56" s="17">
        <v>14956</v>
      </c>
      <c r="E56" s="10">
        <f t="shared" si="3"/>
        <v>2.788178657395024E-2</v>
      </c>
      <c r="F56" s="80">
        <v>0.1702419195225553</v>
      </c>
      <c r="G56" s="83">
        <v>28331</v>
      </c>
      <c r="H56" s="17">
        <v>26342</v>
      </c>
      <c r="I56" s="10">
        <f t="shared" si="4"/>
        <v>7.5506795231949031E-2</v>
      </c>
      <c r="J56" s="44">
        <v>0.29864593551462693</v>
      </c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>
        <v>17066</v>
      </c>
      <c r="D57" s="17">
        <v>16738</v>
      </c>
      <c r="E57" s="10">
        <f t="shared" si="3"/>
        <v>1.9596128569721483E-2</v>
      </c>
      <c r="F57" s="80">
        <v>-3.3536827083168186E-2</v>
      </c>
      <c r="G57" s="83">
        <v>31043</v>
      </c>
      <c r="H57" s="17">
        <v>29183</v>
      </c>
      <c r="I57" s="10">
        <f t="shared" si="4"/>
        <v>6.373573655895548E-2</v>
      </c>
      <c r="J57" s="44">
        <v>4.3090529088795293E-2</v>
      </c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>
        <v>3660</v>
      </c>
      <c r="D58" s="17">
        <v>3021</v>
      </c>
      <c r="E58" s="10">
        <f t="shared" si="3"/>
        <v>0.21151936444885799</v>
      </c>
      <c r="F58" s="80">
        <v>0.45933014354066981</v>
      </c>
      <c r="G58" s="83">
        <v>6518</v>
      </c>
      <c r="H58" s="17">
        <v>5760</v>
      </c>
      <c r="I58" s="10">
        <f t="shared" si="4"/>
        <v>0.13159722222222214</v>
      </c>
      <c r="J58" s="44">
        <v>0.46676268058868531</v>
      </c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>
        <v>9516</v>
      </c>
      <c r="D59" s="17">
        <v>9161</v>
      </c>
      <c r="E59" s="10">
        <f t="shared" si="3"/>
        <v>3.8751228031874252E-2</v>
      </c>
      <c r="F59" s="80">
        <v>5.088788762258134E-2</v>
      </c>
      <c r="G59" s="83">
        <v>17178</v>
      </c>
      <c r="H59" s="17">
        <v>16600</v>
      </c>
      <c r="I59" s="10">
        <f t="shared" si="4"/>
        <v>3.4819277108433688E-2</v>
      </c>
      <c r="J59" s="44">
        <v>8.075800281860257E-2</v>
      </c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>
        <v>11106</v>
      </c>
      <c r="D60" s="18">
        <v>10336</v>
      </c>
      <c r="E60" s="11">
        <f t="shared" si="3"/>
        <v>7.4496904024767829E-2</v>
      </c>
      <c r="F60" s="81">
        <v>9.3002657218777651E-2</v>
      </c>
      <c r="G60" s="84">
        <v>18367</v>
      </c>
      <c r="H60" s="18">
        <v>16707</v>
      </c>
      <c r="I60" s="11">
        <f t="shared" si="4"/>
        <v>9.9359549889267873E-2</v>
      </c>
      <c r="J60" s="46">
        <v>0.12534617552630922</v>
      </c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>
        <v>844220</v>
      </c>
      <c r="D61" s="40">
        <v>808284</v>
      </c>
      <c r="E61" s="65">
        <f t="shared" si="3"/>
        <v>4.4459620628392926E-2</v>
      </c>
      <c r="F61" s="82">
        <v>9.3817576488325116E-2</v>
      </c>
      <c r="G61" s="79">
        <v>1564600</v>
      </c>
      <c r="H61" s="40">
        <v>1505713</v>
      </c>
      <c r="I61" s="65">
        <f t="shared" si="4"/>
        <v>3.9109046677554105E-2</v>
      </c>
      <c r="J61" s="66">
        <v>0.14283426989354098</v>
      </c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VLOOKUP("&lt;T2Titel3&gt;",Uebersetzungen!$B$4:$E$303,Uebersetzungen!$B$2+1,FALSE)</f>
        <v>Hotel- und Kurbetriebe: Logiernächte im Februar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VLOOKUP("&lt;T2SpaltenTitel_1&gt;",Uebersetzungen!$B$4:$E$303,Uebersetzungen!$B$2+1,FALSE)</f>
        <v>Februar 2024</v>
      </c>
      <c r="D69" s="21" t="str">
        <f>VLOOKUP("&lt;T2SpaltenTitel_2&gt;",Uebersetzungen!$B$4:$E$303,Uebersetzungen!$B$2+1,FALSE)</f>
        <v>Februar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VLOOKUP("&lt;T2SpaltenTitel_5&gt;",Uebersetzungen!$B$4:$E$303,Uebersetzungen!$B$2+1,FALSE)</f>
        <v>Januar-Februar 24</v>
      </c>
      <c r="H69" s="22" t="str">
        <f>VLOOKUP("&lt;T2SpaltenTitel_6&gt;",Uebersetzungen!$B$4:$E$303,Uebersetzungen!$B$2+1,FALSE)</f>
        <v>Januar-Februar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>
        <v>73514</v>
      </c>
      <c r="D70" s="17">
        <v>66315</v>
      </c>
      <c r="E70" s="10">
        <f>C70/D70-1</f>
        <v>0.10855764155922487</v>
      </c>
      <c r="F70" s="80">
        <v>0.29440185372346983</v>
      </c>
      <c r="G70" s="83">
        <v>146292</v>
      </c>
      <c r="H70" s="17">
        <v>135732</v>
      </c>
      <c r="I70" s="10">
        <f>G70/H70-1</f>
        <v>7.7800371319953987E-2</v>
      </c>
      <c r="J70" s="44">
        <v>0.3025732347965453</v>
      </c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>
        <v>107817</v>
      </c>
      <c r="D71" s="17">
        <v>102012</v>
      </c>
      <c r="E71" s="10">
        <f t="shared" ref="E71:E83" si="5">C71/D71-1</f>
        <v>5.69050699917657E-2</v>
      </c>
      <c r="F71" s="80">
        <v>0.35709682454170588</v>
      </c>
      <c r="G71" s="83">
        <v>208476</v>
      </c>
      <c r="H71" s="17">
        <v>193689</v>
      </c>
      <c r="I71" s="10">
        <f t="shared" ref="I71:I83" si="6">G71/H71-1</f>
        <v>7.6344036057804043E-2</v>
      </c>
      <c r="J71" s="44">
        <v>0.35823124252398197</v>
      </c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>
        <v>461749</v>
      </c>
      <c r="D72" s="17">
        <v>447522</v>
      </c>
      <c r="E72" s="10">
        <f t="shared" si="5"/>
        <v>3.1790615880336714E-2</v>
      </c>
      <c r="F72" s="80">
        <v>0.15633190441202616</v>
      </c>
      <c r="G72" s="83">
        <v>857976</v>
      </c>
      <c r="H72" s="17">
        <v>840177</v>
      </c>
      <c r="I72" s="10">
        <f t="shared" si="6"/>
        <v>2.1184821769698603E-2</v>
      </c>
      <c r="J72" s="44">
        <v>0.18840055371596076</v>
      </c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>
        <v>29428</v>
      </c>
      <c r="D73" s="17">
        <v>30621</v>
      </c>
      <c r="E73" s="10">
        <f t="shared" si="5"/>
        <v>-3.8960190718787757E-2</v>
      </c>
      <c r="F73" s="80">
        <v>0.15723408940761963</v>
      </c>
      <c r="G73" s="83">
        <v>59460</v>
      </c>
      <c r="H73" s="17">
        <v>58747</v>
      </c>
      <c r="I73" s="10">
        <f t="shared" si="6"/>
        <v>1.2136789963742789E-2</v>
      </c>
      <c r="J73" s="44">
        <v>0.23439361918562418</v>
      </c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>
        <v>247705</v>
      </c>
      <c r="D74" s="17">
        <v>220323</v>
      </c>
      <c r="E74" s="10">
        <f t="shared" si="5"/>
        <v>0.12428116901095221</v>
      </c>
      <c r="F74" s="80">
        <v>0.45654160379810405</v>
      </c>
      <c r="G74" s="83">
        <v>492812</v>
      </c>
      <c r="H74" s="17">
        <v>440880</v>
      </c>
      <c r="I74" s="10">
        <f t="shared" si="6"/>
        <v>0.11779168934857553</v>
      </c>
      <c r="J74" s="44">
        <v>0.46646146228357743</v>
      </c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>
        <v>844220</v>
      </c>
      <c r="D75" s="62">
        <v>808284</v>
      </c>
      <c r="E75" s="63">
        <f t="shared" si="5"/>
        <v>4.4459620628392926E-2</v>
      </c>
      <c r="F75" s="85">
        <v>9.3817576488325116E-2</v>
      </c>
      <c r="G75" s="87">
        <v>1564600</v>
      </c>
      <c r="H75" s="62">
        <v>1505713</v>
      </c>
      <c r="I75" s="63">
        <f t="shared" si="6"/>
        <v>3.9109046677554105E-2</v>
      </c>
      <c r="J75" s="64">
        <v>0.14283426989354098</v>
      </c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>
        <v>32245</v>
      </c>
      <c r="D76" s="17">
        <v>32478</v>
      </c>
      <c r="E76" s="10">
        <f t="shared" si="5"/>
        <v>-7.1740870743272067E-3</v>
      </c>
      <c r="F76" s="80">
        <v>0.12832338388539366</v>
      </c>
      <c r="G76" s="83">
        <v>59300</v>
      </c>
      <c r="H76" s="17">
        <v>62256</v>
      </c>
      <c r="I76" s="10">
        <f t="shared" si="6"/>
        <v>-4.7481367257774298E-2</v>
      </c>
      <c r="J76" s="44">
        <v>0.11402506838197723</v>
      </c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>
        <v>265365</v>
      </c>
      <c r="D77" s="17">
        <v>258393</v>
      </c>
      <c r="E77" s="10">
        <f t="shared" si="5"/>
        <v>2.6982155089340765E-2</v>
      </c>
      <c r="F77" s="80">
        <v>0.18621785301117355</v>
      </c>
      <c r="G77" s="83">
        <v>489885</v>
      </c>
      <c r="H77" s="17">
        <v>483194</v>
      </c>
      <c r="I77" s="10">
        <f t="shared" si="6"/>
        <v>1.3847440158611279E-2</v>
      </c>
      <c r="J77" s="44">
        <v>0.18989093668342782</v>
      </c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>
        <v>137422</v>
      </c>
      <c r="D78" s="17">
        <v>136425</v>
      </c>
      <c r="E78" s="10">
        <f t="shared" si="5"/>
        <v>7.3080447132123361E-3</v>
      </c>
      <c r="F78" s="80">
        <v>0.11787731674302382</v>
      </c>
      <c r="G78" s="83">
        <v>259666</v>
      </c>
      <c r="H78" s="17">
        <v>257214</v>
      </c>
      <c r="I78" s="10">
        <f t="shared" si="6"/>
        <v>9.5329181148771092E-3</v>
      </c>
      <c r="J78" s="44">
        <v>0.15462635809753844</v>
      </c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>
        <v>76495</v>
      </c>
      <c r="D79" s="17">
        <v>81603</v>
      </c>
      <c r="E79" s="10">
        <f t="shared" si="5"/>
        <v>-6.2595737901792847E-2</v>
      </c>
      <c r="F79" s="80">
        <v>4.0618045088233856E-2</v>
      </c>
      <c r="G79" s="83">
        <v>136385</v>
      </c>
      <c r="H79" s="17">
        <v>143209</v>
      </c>
      <c r="I79" s="10">
        <f t="shared" si="6"/>
        <v>-4.7650636482344022E-2</v>
      </c>
      <c r="J79" s="44">
        <v>5.9363504175780513E-2</v>
      </c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>
        <v>197119</v>
      </c>
      <c r="D80" s="17">
        <v>195888</v>
      </c>
      <c r="E80" s="10">
        <f t="shared" si="5"/>
        <v>6.2842032181655849E-3</v>
      </c>
      <c r="F80" s="80">
        <v>0.15757879703274957</v>
      </c>
      <c r="G80" s="83">
        <v>367725</v>
      </c>
      <c r="H80" s="17">
        <v>368827</v>
      </c>
      <c r="I80" s="10">
        <f t="shared" si="6"/>
        <v>-2.9878506725374843E-3</v>
      </c>
      <c r="J80" s="44">
        <v>0.13475687241904333</v>
      </c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>
        <v>567162</v>
      </c>
      <c r="D81" s="17">
        <v>555728</v>
      </c>
      <c r="E81" s="33">
        <f t="shared" si="5"/>
        <v>2.0574813577865392E-2</v>
      </c>
      <c r="F81" s="80">
        <v>0.10595061576249032</v>
      </c>
      <c r="G81" s="83">
        <v>1033719</v>
      </c>
      <c r="H81" s="17">
        <v>1024184</v>
      </c>
      <c r="I81" s="33">
        <f t="shared" si="6"/>
        <v>9.3098505737250203E-3</v>
      </c>
      <c r="J81" s="44">
        <v>0.13858143973438497</v>
      </c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>
        <v>410139</v>
      </c>
      <c r="D82" s="18">
        <v>387111</v>
      </c>
      <c r="E82" s="43">
        <f t="shared" si="5"/>
        <v>5.9486813859590759E-2</v>
      </c>
      <c r="F82" s="11">
        <v>0.36426504340884147</v>
      </c>
      <c r="G82" s="84">
        <v>841295</v>
      </c>
      <c r="H82" s="18">
        <v>811433</v>
      </c>
      <c r="I82" s="43">
        <f t="shared" si="6"/>
        <v>3.680155970979726E-2</v>
      </c>
      <c r="J82" s="48">
        <v>0.36877304622064755</v>
      </c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>
        <v>3450380</v>
      </c>
      <c r="D83" s="40">
        <v>3322703</v>
      </c>
      <c r="E83" s="41">
        <f t="shared" si="5"/>
        <v>3.8425643218789052E-2</v>
      </c>
      <c r="F83" s="86">
        <v>0.17546378863059919</v>
      </c>
      <c r="G83" s="79">
        <v>6517591</v>
      </c>
      <c r="H83" s="40">
        <v>6325255</v>
      </c>
      <c r="I83" s="41">
        <f t="shared" si="6"/>
        <v>3.0407627834767137E-2</v>
      </c>
      <c r="J83" s="45">
        <v>0.20557751656237833</v>
      </c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VLOOKUP("&lt;T2Aktualisierung&gt;",Uebersetzungen!$B$4:$E$303,Uebersetzungen!$B$2+1,FALSE)</f>
        <v>Letztmals aktualisiert am: 08.04.2024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VLOOKUP("&lt;T2Legende_3&gt;",Uebersetzungen!$B$4:$E$303,Uebersetzungen!$B$2+1,FALSE)</f>
        <v>Daten des März 2024 erscheinen am 6. Mai 2024.</v>
      </c>
    </row>
    <row r="90" spans="1:10" x14ac:dyDescent="0.2">
      <c r="A90" s="4" t="s">
        <v>57</v>
      </c>
    </row>
  </sheetData>
  <sheetProtection sheet="1" objects="1" scenarios="1"/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K90"/>
  <sheetViews>
    <sheetView zoomScaleNormal="100" workbookViewId="0"/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3" width="13.5703125" style="4" customWidth="1"/>
    <col min="4" max="4" width="13.28515625" style="4" customWidth="1"/>
    <col min="5" max="5" width="12.5703125" style="4" customWidth="1"/>
    <col min="6" max="6" width="15.5703125" style="4" bestFit="1" customWidth="1"/>
    <col min="7" max="7" width="11.28515625" style="4" bestFit="1" customWidth="1"/>
    <col min="8" max="8" width="10.7109375" style="4" bestFit="1" customWidth="1"/>
    <col min="9" max="9" width="12.5703125" style="4" customWidth="1"/>
    <col min="10" max="10" width="15.5703125" style="4" bestFit="1" customWidth="1"/>
    <col min="11" max="16384" width="11.42578125" style="4"/>
  </cols>
  <sheetData>
    <row r="1" spans="1:11" s="68" customFormat="1" x14ac:dyDescent="0.2"/>
    <row r="2" spans="1:11" s="68" customFormat="1" ht="15.75" x14ac:dyDescent="0.25">
      <c r="B2" s="69"/>
      <c r="C2" s="4"/>
      <c r="D2" s="4"/>
    </row>
    <row r="3" spans="1:11" s="68" customFormat="1" ht="15.75" x14ac:dyDescent="0.25">
      <c r="B3" s="69"/>
      <c r="C3" s="4"/>
      <c r="D3" s="4"/>
    </row>
    <row r="4" spans="1:11" s="68" customFormat="1" ht="15.75" x14ac:dyDescent="0.25">
      <c r="B4" s="69"/>
      <c r="C4" s="4"/>
      <c r="D4" s="4"/>
    </row>
    <row r="5" spans="1:11" s="68" customFormat="1" x14ac:dyDescent="0.2"/>
    <row r="6" spans="1:11" s="68" customFormat="1" x14ac:dyDescent="0.2"/>
    <row r="7" spans="1:11" ht="15.75" customHeight="1" x14ac:dyDescent="0.2">
      <c r="A7" s="124" t="str">
        <f>VLOOKUP("&lt;Fachbereich&gt;",Uebersetzungen!$B$4:$E$33,Uebersetzungen!$B$2+1,FALSE)</f>
        <v>Daten &amp; Statistik</v>
      </c>
      <c r="B7" s="124"/>
      <c r="C7" s="124"/>
      <c r="D7" s="124"/>
      <c r="E7" s="95"/>
      <c r="F7" s="1"/>
    </row>
    <row r="8" spans="1:11" ht="10.5" customHeight="1" x14ac:dyDescent="0.2"/>
    <row r="9" spans="1:11" ht="18" x14ac:dyDescent="0.25">
      <c r="A9" s="2" t="str">
        <f>VLOOKUP("&lt;Titel1&gt;",Uebersetzungen!$B$4:$E$31,Uebersetzungen!$B$2+1,FALSE)</f>
        <v>Hotel- und Kurbetriebe: Logiernächte im Januar 2024, nach Herkunft</v>
      </c>
      <c r="B9" s="3"/>
      <c r="C9" s="3"/>
      <c r="D9" s="3"/>
      <c r="E9" s="3"/>
      <c r="F9" s="3"/>
    </row>
    <row r="10" spans="1:11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1" ht="13.5" thickBot="1" x14ac:dyDescent="0.25"/>
    <row r="12" spans="1:11" ht="51" customHeight="1" x14ac:dyDescent="0.2">
      <c r="A12" s="8"/>
      <c r="B12" s="9"/>
      <c r="C12" s="20" t="str">
        <f>VLOOKUP("&lt;SpaltenTitel_1&gt;",Uebersetzungen!$B$4:$E$34,Uebersetzungen!$B$2+1,FALSE)</f>
        <v>Januar 2024</v>
      </c>
      <c r="D12" s="21" t="str">
        <f>VLOOKUP("&lt;SpaltenTitel_2&gt;",Uebersetzungen!$B$4:$E$34,Uebersetzungen!$B$2+1,FALSE)</f>
        <v>Januar 2023</v>
      </c>
      <c r="E12" s="22" t="str">
        <f>VLOOKUP("&lt;SpaltenTitel_3&gt;",Uebersetzungen!$B$4:$E$34,Uebersetzungen!$B$2+1,FALSE)</f>
        <v>Veränderung 24/23 in %</v>
      </c>
      <c r="F12" s="23" t="str">
        <f>VLOOKUP("&lt;SpaltenTitel_4&gt;",Uebersetzungen!$B$4:$E$34,Uebersetzungen!$B$2+1,FALSE)</f>
        <v>Veränderung zum
5-Jahresmittel 
in %</v>
      </c>
      <c r="G12" s="97"/>
      <c r="H12" s="97"/>
      <c r="I12" s="97"/>
      <c r="J12" s="97"/>
      <c r="K12" s="96"/>
    </row>
    <row r="13" spans="1:11" x14ac:dyDescent="0.2">
      <c r="A13" s="24" t="str">
        <f>VLOOKUP("&lt;Zeilentitel_1&gt;",Uebersetzungen!$B$4:$E$77,Uebersetzungen!$B$2+1,FALSE)</f>
        <v>Schweiz</v>
      </c>
      <c r="B13" s="5"/>
      <c r="C13" s="51">
        <v>449496</v>
      </c>
      <c r="D13" s="52">
        <v>441145</v>
      </c>
      <c r="E13" s="53">
        <f t="shared" ref="E13:E36" si="0">C13/D13-1</f>
        <v>1.8930283693570082E-2</v>
      </c>
      <c r="F13" s="54">
        <v>0.16623043984532448</v>
      </c>
      <c r="G13" s="101"/>
      <c r="H13" s="102"/>
      <c r="I13" s="103"/>
      <c r="J13" s="104"/>
      <c r="K13" s="96"/>
    </row>
    <row r="14" spans="1:11" x14ac:dyDescent="0.2">
      <c r="A14" s="24" t="str">
        <f>VLOOKUP("&lt;Zeilentitel_2&gt;",Uebersetzungen!$B$4:$E$77,Uebersetzungen!$B$2+1,FALSE)</f>
        <v>Deutschland</v>
      </c>
      <c r="B14" s="5"/>
      <c r="C14" s="51">
        <v>104762</v>
      </c>
      <c r="D14" s="52">
        <v>102207</v>
      </c>
      <c r="E14" s="53">
        <f t="shared" si="0"/>
        <v>2.4998287788507545E-2</v>
      </c>
      <c r="F14" s="54">
        <v>0.25603667806461816</v>
      </c>
      <c r="G14" s="101"/>
      <c r="H14" s="102"/>
      <c r="I14" s="103"/>
      <c r="J14" s="104"/>
      <c r="K14" s="96"/>
    </row>
    <row r="15" spans="1:11" x14ac:dyDescent="0.2">
      <c r="A15" s="24" t="str">
        <f>VLOOKUP("&lt;Zeilentitel_3&gt;",Uebersetzungen!$B$4:$E$77,Uebersetzungen!$B$2+1,FALSE)</f>
        <v>Italien</v>
      </c>
      <c r="B15" s="5"/>
      <c r="C15" s="51">
        <v>15371</v>
      </c>
      <c r="D15" s="52">
        <v>15471</v>
      </c>
      <c r="E15" s="53">
        <f t="shared" si="0"/>
        <v>-6.463706289186244E-3</v>
      </c>
      <c r="F15" s="54">
        <v>0.33577238598442705</v>
      </c>
      <c r="G15" s="101"/>
      <c r="H15" s="102"/>
      <c r="I15" s="103"/>
      <c r="J15" s="104"/>
      <c r="K15" s="96"/>
    </row>
    <row r="16" spans="1:11" x14ac:dyDescent="0.2">
      <c r="A16" s="24" t="str">
        <f>VLOOKUP("&lt;Zeilentitel_4&gt;",Uebersetzungen!$B$4:$E$77,Uebersetzungen!$B$2+1,FALSE)</f>
        <v>Frankreich</v>
      </c>
      <c r="B16" s="5"/>
      <c r="C16" s="51">
        <v>7587</v>
      </c>
      <c r="D16" s="52">
        <v>6791</v>
      </c>
      <c r="E16" s="53">
        <f t="shared" si="0"/>
        <v>0.11721395965248127</v>
      </c>
      <c r="F16" s="54">
        <v>0.41511545491849144</v>
      </c>
      <c r="G16" s="101"/>
      <c r="H16" s="102"/>
      <c r="I16" s="103"/>
      <c r="J16" s="104"/>
      <c r="K16" s="96"/>
    </row>
    <row r="17" spans="1:11" x14ac:dyDescent="0.2">
      <c r="A17" s="24" t="str">
        <f>VLOOKUP("&lt;Zeilentitel_5&gt;",Uebersetzungen!$B$4:$E$77,Uebersetzungen!$B$2+1,FALSE)</f>
        <v>Österreich</v>
      </c>
      <c r="B17" s="5"/>
      <c r="C17" s="51">
        <v>4055</v>
      </c>
      <c r="D17" s="52">
        <v>4436</v>
      </c>
      <c r="E17" s="53">
        <f t="shared" si="0"/>
        <v>-8.5888187556357076E-2</v>
      </c>
      <c r="F17" s="54">
        <v>0.17135594199549353</v>
      </c>
      <c r="G17" s="101"/>
      <c r="H17" s="102"/>
      <c r="I17" s="103"/>
      <c r="J17" s="104"/>
      <c r="K17" s="96"/>
    </row>
    <row r="18" spans="1:11" x14ac:dyDescent="0.2">
      <c r="A18" s="24" t="str">
        <f>VLOOKUP("&lt;Zeilentitel_6&gt;",Uebersetzungen!$B$4:$E$77,Uebersetzungen!$B$2+1,FALSE)</f>
        <v>Niederlande</v>
      </c>
      <c r="B18" s="5"/>
      <c r="C18" s="51">
        <v>10984</v>
      </c>
      <c r="D18" s="52">
        <v>10781</v>
      </c>
      <c r="E18" s="53">
        <f t="shared" si="0"/>
        <v>1.8829422131527718E-2</v>
      </c>
      <c r="F18" s="54">
        <v>0.30346038828499555</v>
      </c>
      <c r="G18" s="101"/>
      <c r="H18" s="102"/>
      <c r="I18" s="103"/>
      <c r="J18" s="104"/>
      <c r="K18" s="96"/>
    </row>
    <row r="19" spans="1:11" x14ac:dyDescent="0.2">
      <c r="A19" s="24" t="str">
        <f>VLOOKUP("&lt;Zeilentitel_7&gt;",Uebersetzungen!$B$4:$E$77,Uebersetzungen!$B$2+1,FALSE)</f>
        <v>Belgien</v>
      </c>
      <c r="B19" s="5"/>
      <c r="C19" s="51">
        <v>6132</v>
      </c>
      <c r="D19" s="52">
        <v>6235</v>
      </c>
      <c r="E19" s="53">
        <f t="shared" si="0"/>
        <v>-1.651964715316756E-2</v>
      </c>
      <c r="F19" s="54">
        <v>0.2562484634925839</v>
      </c>
      <c r="G19" s="101"/>
      <c r="H19" s="102"/>
      <c r="I19" s="103"/>
      <c r="J19" s="104"/>
      <c r="K19" s="96"/>
    </row>
    <row r="20" spans="1:11" x14ac:dyDescent="0.2">
      <c r="A20" s="24" t="str">
        <f>VLOOKUP("&lt;Zeilentitel_8&gt;",Uebersetzungen!$B$4:$E$77,Uebersetzungen!$B$2+1,FALSE)</f>
        <v>Luxemburg</v>
      </c>
      <c r="B20" s="5"/>
      <c r="C20" s="51">
        <v>3015</v>
      </c>
      <c r="D20" s="52">
        <v>2961</v>
      </c>
      <c r="E20" s="53">
        <f t="shared" si="0"/>
        <v>1.8237082066869359E-2</v>
      </c>
      <c r="F20" s="54">
        <v>0.48492907801418439</v>
      </c>
      <c r="G20" s="101"/>
      <c r="H20" s="102"/>
      <c r="I20" s="103"/>
      <c r="J20" s="104"/>
      <c r="K20" s="96"/>
    </row>
    <row r="21" spans="1:11" x14ac:dyDescent="0.2">
      <c r="A21" s="24" t="str">
        <f>VLOOKUP("&lt;Zeilentitel_9&gt;",Uebersetzungen!$B$4:$E$77,Uebersetzungen!$B$2+1,FALSE)</f>
        <v>Vereinigtes Königreich</v>
      </c>
      <c r="B21" s="5"/>
      <c r="C21" s="51">
        <v>20399</v>
      </c>
      <c r="D21" s="52">
        <v>22160</v>
      </c>
      <c r="E21" s="53">
        <f t="shared" si="0"/>
        <v>-7.9467509025270777E-2</v>
      </c>
      <c r="F21" s="54">
        <v>0.26142449014927593</v>
      </c>
      <c r="G21" s="101"/>
      <c r="H21" s="102"/>
      <c r="I21" s="103"/>
      <c r="J21" s="104"/>
      <c r="K21" s="96"/>
    </row>
    <row r="22" spans="1:11" x14ac:dyDescent="0.2">
      <c r="A22" s="24" t="str">
        <f>VLOOKUP("&lt;Zeilentitel_10&gt;",Uebersetzungen!$B$4:$E$77,Uebersetzungen!$B$2+1,FALSE)</f>
        <v>Vereinigte Staaten</v>
      </c>
      <c r="B22" s="5"/>
      <c r="C22" s="51">
        <v>20587</v>
      </c>
      <c r="D22" s="52">
        <v>18208</v>
      </c>
      <c r="E22" s="53">
        <f t="shared" si="0"/>
        <v>0.13065685413005279</v>
      </c>
      <c r="F22" s="54">
        <v>0.66855781232270495</v>
      </c>
      <c r="G22" s="101"/>
      <c r="H22" s="102"/>
      <c r="I22" s="103"/>
      <c r="J22" s="104"/>
      <c r="K22" s="96"/>
    </row>
    <row r="23" spans="1:11" x14ac:dyDescent="0.2">
      <c r="A23" s="24" t="str">
        <f>VLOOKUP("&lt;Zeilentitel_11&gt;",Uebersetzungen!$B$4:$E$77,Uebersetzungen!$B$2+1,FALSE)</f>
        <v>Polen</v>
      </c>
      <c r="B23" s="5"/>
      <c r="C23" s="51">
        <v>6498</v>
      </c>
      <c r="D23" s="52">
        <v>4768</v>
      </c>
      <c r="E23" s="53">
        <f t="shared" si="0"/>
        <v>0.36283557046979875</v>
      </c>
      <c r="F23" s="54">
        <v>-0.35019999999999996</v>
      </c>
      <c r="G23" s="101"/>
      <c r="H23" s="102"/>
      <c r="I23" s="103"/>
      <c r="J23" s="104"/>
      <c r="K23" s="96"/>
    </row>
    <row r="24" spans="1:11" x14ac:dyDescent="0.2">
      <c r="A24" s="24" t="str">
        <f>VLOOKUP("&lt;Zeilentitel_12&gt;",Uebersetzungen!$B$4:$E$77,Uebersetzungen!$B$2+1,FALSE)</f>
        <v>Tschechien</v>
      </c>
      <c r="B24" s="5"/>
      <c r="C24" s="51">
        <v>2251</v>
      </c>
      <c r="D24" s="52">
        <v>2094</v>
      </c>
      <c r="E24" s="53">
        <f t="shared" si="0"/>
        <v>7.4976122254059252E-2</v>
      </c>
      <c r="F24" s="54">
        <v>-3.8609379004014732E-2</v>
      </c>
      <c r="G24" s="101"/>
      <c r="H24" s="102"/>
      <c r="I24" s="103"/>
      <c r="J24" s="104"/>
      <c r="K24" s="96"/>
    </row>
    <row r="25" spans="1:11" x14ac:dyDescent="0.2">
      <c r="A25" s="24" t="str">
        <f>VLOOKUP("&lt;Zeilentitel_13&gt;",Uebersetzungen!$B$4:$E$77,Uebersetzungen!$B$2+1,FALSE)</f>
        <v>Russland</v>
      </c>
      <c r="B25" s="5"/>
      <c r="C25" s="51">
        <v>3009</v>
      </c>
      <c r="D25" s="52">
        <v>2410</v>
      </c>
      <c r="E25" s="53">
        <f t="shared" si="0"/>
        <v>0.24854771784232366</v>
      </c>
      <c r="F25" s="54">
        <v>-0.63612837690763535</v>
      </c>
      <c r="G25" s="101"/>
      <c r="H25" s="102"/>
      <c r="I25" s="103"/>
      <c r="J25" s="104"/>
      <c r="K25" s="96"/>
    </row>
    <row r="26" spans="1:11" x14ac:dyDescent="0.2">
      <c r="A26" s="24" t="str">
        <f>VLOOKUP("&lt;Zeilentitel_14&gt;",Uebersetzungen!$B$4:$E$77,Uebersetzungen!$B$2+1,FALSE)</f>
        <v>Schweden</v>
      </c>
      <c r="B26" s="5"/>
      <c r="C26" s="51">
        <v>2106</v>
      </c>
      <c r="D26" s="52">
        <v>1848</v>
      </c>
      <c r="E26" s="53">
        <f t="shared" si="0"/>
        <v>0.13961038961038952</v>
      </c>
      <c r="F26" s="54">
        <v>0.26183343319352903</v>
      </c>
      <c r="G26" s="101"/>
      <c r="H26" s="102"/>
      <c r="I26" s="103"/>
      <c r="J26" s="104"/>
      <c r="K26" s="96"/>
    </row>
    <row r="27" spans="1:11" x14ac:dyDescent="0.2">
      <c r="A27" s="24" t="str">
        <f>VLOOKUP("&lt;Zeilentitel_15&gt;",Uebersetzungen!$B$4:$E$77,Uebersetzungen!$B$2+1,FALSE)</f>
        <v>Norwegen</v>
      </c>
      <c r="B27" s="5"/>
      <c r="C27" s="51">
        <v>772</v>
      </c>
      <c r="D27" s="52">
        <v>807</v>
      </c>
      <c r="E27" s="53">
        <f t="shared" si="0"/>
        <v>-4.3370508054522916E-2</v>
      </c>
      <c r="F27" s="54">
        <v>5.2344601962922566E-2</v>
      </c>
      <c r="G27" s="101"/>
      <c r="H27" s="102"/>
      <c r="I27" s="103"/>
      <c r="J27" s="104"/>
      <c r="K27" s="96"/>
    </row>
    <row r="28" spans="1:11" x14ac:dyDescent="0.2">
      <c r="A28" s="24" t="str">
        <f>VLOOKUP("&lt;Zeilentitel_16&gt;",Uebersetzungen!$B$4:$E$77,Uebersetzungen!$B$2+1,FALSE)</f>
        <v>Dänemark</v>
      </c>
      <c r="B28" s="5"/>
      <c r="C28" s="51">
        <v>1062</v>
      </c>
      <c r="D28" s="52">
        <v>1195</v>
      </c>
      <c r="E28" s="53">
        <f t="shared" si="0"/>
        <v>-0.1112970711297071</v>
      </c>
      <c r="F28" s="54">
        <v>0.14218111421811153</v>
      </c>
      <c r="G28" s="101"/>
      <c r="H28" s="102"/>
      <c r="I28" s="103"/>
      <c r="J28" s="104"/>
      <c r="K28" s="96"/>
    </row>
    <row r="29" spans="1:11" x14ac:dyDescent="0.2">
      <c r="A29" s="24" t="str">
        <f>VLOOKUP("&lt;Zeilentitel_17&gt;",Uebersetzungen!$B$4:$E$77,Uebersetzungen!$B$2+1,FALSE)</f>
        <v>Finnland</v>
      </c>
      <c r="B29" s="5"/>
      <c r="C29" s="51">
        <v>792</v>
      </c>
      <c r="D29" s="52">
        <v>723</v>
      </c>
      <c r="E29" s="53">
        <f t="shared" si="0"/>
        <v>9.543568464730301E-2</v>
      </c>
      <c r="F29" s="54">
        <v>0.5022761760242791</v>
      </c>
      <c r="G29" s="101"/>
      <c r="H29" s="102"/>
      <c r="I29" s="103"/>
      <c r="J29" s="104"/>
      <c r="K29" s="96"/>
    </row>
    <row r="30" spans="1:11" x14ac:dyDescent="0.2">
      <c r="A30" s="24" t="str">
        <f>VLOOKUP("&lt;Zeilentitel_18&gt;",Uebersetzungen!$B$4:$E$77,Uebersetzungen!$B$2+1,FALSE)</f>
        <v>Japan</v>
      </c>
      <c r="B30" s="5"/>
      <c r="C30" s="51">
        <v>963</v>
      </c>
      <c r="D30" s="52">
        <v>996</v>
      </c>
      <c r="E30" s="53">
        <f t="shared" si="0"/>
        <v>-3.3132530120481896E-2</v>
      </c>
      <c r="F30" s="54">
        <v>0.18918251420103727</v>
      </c>
      <c r="G30" s="101"/>
      <c r="H30" s="102"/>
      <c r="I30" s="103"/>
      <c r="J30" s="104"/>
      <c r="K30" s="96"/>
    </row>
    <row r="31" spans="1:11" x14ac:dyDescent="0.2">
      <c r="A31" s="24" t="str">
        <f>VLOOKUP("&lt;Zeilentitel_19&gt;",Uebersetzungen!$B$4:$E$77,Uebersetzungen!$B$2+1,FALSE)</f>
        <v>China / Hongkong / Taiwan (Chin. Taipei)</v>
      </c>
      <c r="B31" s="5"/>
      <c r="C31" s="51">
        <v>2271</v>
      </c>
      <c r="D31" s="52">
        <v>2054</v>
      </c>
      <c r="E31" s="53">
        <f t="shared" si="0"/>
        <v>0.10564751703992203</v>
      </c>
      <c r="F31" s="54">
        <v>-9.0758355877477159E-3</v>
      </c>
      <c r="G31" s="101"/>
      <c r="H31" s="102"/>
      <c r="I31" s="103"/>
      <c r="J31" s="104"/>
      <c r="K31" s="96"/>
    </row>
    <row r="32" spans="1:11" x14ac:dyDescent="0.2">
      <c r="A32" s="24" t="str">
        <f>VLOOKUP("&lt;Zeilentitel_20&gt;",Uebersetzungen!$B$4:$E$77,Uebersetzungen!$B$2+1,FALSE)</f>
        <v xml:space="preserve">Indien </v>
      </c>
      <c r="B32" s="5"/>
      <c r="C32" s="59">
        <v>1272</v>
      </c>
      <c r="D32" s="52">
        <v>988</v>
      </c>
      <c r="E32" s="53">
        <f t="shared" si="0"/>
        <v>0.28744939271255054</v>
      </c>
      <c r="F32" s="54">
        <v>0.80938833570412516</v>
      </c>
      <c r="G32" s="105"/>
      <c r="H32" s="102"/>
      <c r="I32" s="103"/>
      <c r="J32" s="104"/>
      <c r="K32" s="96"/>
    </row>
    <row r="33" spans="1:11" x14ac:dyDescent="0.2">
      <c r="A33" s="24" t="str">
        <f>VLOOKUP("&lt;Zeilentitel_21&gt;",Uebersetzungen!$B$4:$E$77,Uebersetzungen!$B$2+1,FALSE)</f>
        <v>Brasilien</v>
      </c>
      <c r="B33" s="5"/>
      <c r="C33" s="51">
        <v>10883</v>
      </c>
      <c r="D33" s="52">
        <v>7898</v>
      </c>
      <c r="E33" s="53">
        <f t="shared" si="0"/>
        <v>0.37794378323626243</v>
      </c>
      <c r="F33" s="54">
        <v>0.97162940686256749</v>
      </c>
      <c r="G33" s="101"/>
      <c r="H33" s="102"/>
      <c r="I33" s="103"/>
      <c r="J33" s="104"/>
      <c r="K33" s="96"/>
    </row>
    <row r="34" spans="1:11" x14ac:dyDescent="0.2">
      <c r="A34" s="24" t="str">
        <f>VLOOKUP("&lt;Zeilentitel_22&gt;",Uebersetzungen!$B$4:$E$77,Uebersetzungen!$B$2+1,FALSE)</f>
        <v>Golfstaaten</v>
      </c>
      <c r="B34" s="5"/>
      <c r="C34" s="59">
        <v>4633</v>
      </c>
      <c r="D34" s="55">
        <v>2825</v>
      </c>
      <c r="E34" s="53">
        <f t="shared" si="0"/>
        <v>0.6399999999999999</v>
      </c>
      <c r="F34" s="54">
        <v>1.4847152204226108</v>
      </c>
      <c r="G34" s="105"/>
      <c r="H34" s="102"/>
      <c r="I34" s="103"/>
      <c r="J34" s="104"/>
      <c r="K34" s="96"/>
    </row>
    <row r="35" spans="1:11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41480</v>
      </c>
      <c r="D35" s="57">
        <f>D36-SUM(D13:D34)</f>
        <v>38428</v>
      </c>
      <c r="E35" s="53">
        <f t="shared" si="0"/>
        <v>7.942125533465183E-2</v>
      </c>
      <c r="F35" s="58" t="s">
        <v>52</v>
      </c>
      <c r="G35" s="101"/>
      <c r="H35" s="106"/>
      <c r="I35" s="103"/>
      <c r="J35" s="107"/>
      <c r="K35" s="96"/>
    </row>
    <row r="36" spans="1:11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720380</v>
      </c>
      <c r="D36" s="19">
        <f>D61</f>
        <v>697429</v>
      </c>
      <c r="E36" s="12">
        <f t="shared" si="0"/>
        <v>3.2908009274062344E-2</v>
      </c>
      <c r="F36" s="47">
        <f>F61</f>
        <v>0.20617813421632558</v>
      </c>
      <c r="G36" s="29"/>
      <c r="H36" s="98"/>
      <c r="I36" s="99"/>
      <c r="J36" s="99"/>
      <c r="K36" s="96"/>
    </row>
    <row r="37" spans="1:11" x14ac:dyDescent="0.2">
      <c r="C37" s="15"/>
      <c r="D37" s="16"/>
      <c r="E37" s="28"/>
      <c r="F37" s="27"/>
      <c r="I37" s="15"/>
      <c r="J37" s="15"/>
    </row>
    <row r="38" spans="1:11" x14ac:dyDescent="0.2">
      <c r="C38" s="15"/>
    </row>
    <row r="39" spans="1:11" ht="18" x14ac:dyDescent="0.25">
      <c r="A39" s="2" t="str">
        <f>VLOOKUP("&lt;Titel2&gt;",Uebersetzungen!$B$4:$E$31,Uebersetzungen!$B$2+1,FALSE)</f>
        <v>Hotel- und Kurbetriebe: Logiernächte im Januar 2024, nach Destinationen</v>
      </c>
      <c r="B39" s="3"/>
      <c r="C39" s="3"/>
      <c r="D39" s="3"/>
      <c r="E39" s="3"/>
      <c r="F39" s="3"/>
    </row>
    <row r="40" spans="1:11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1" ht="13.5" thickBot="1" x14ac:dyDescent="0.25">
      <c r="G41" s="96"/>
      <c r="H41" s="96"/>
      <c r="I41" s="96"/>
      <c r="J41" s="96"/>
      <c r="K41" s="96"/>
    </row>
    <row r="42" spans="1:11" ht="51" customHeight="1" x14ac:dyDescent="0.2">
      <c r="A42" s="8"/>
      <c r="B42" s="9"/>
      <c r="C42" s="20" t="str">
        <f>VLOOKUP("&lt;SpaltenTitel_1&gt;",Uebersetzungen!$B$4:$E$34,Uebersetzungen!$B$2+1,FALSE)</f>
        <v>Januar 2024</v>
      </c>
      <c r="D42" s="21" t="str">
        <f>VLOOKUP("&lt;SpaltenTitel_2&gt;",Uebersetzungen!$B$4:$E$34,Uebersetzungen!$B$2+1,FALSE)</f>
        <v>Januar 2023</v>
      </c>
      <c r="E42" s="22" t="str">
        <f>VLOOKUP("&lt;SpaltenTitel_3&gt;",Uebersetzungen!$B$4:$E$34,Uebersetzungen!$B$2+1,FALSE)</f>
        <v>Veränderung 24/23 in %</v>
      </c>
      <c r="F42" s="23" t="str">
        <f>VLOOKUP("&lt;SpaltenTitel_4&gt;",Uebersetzungen!$B$4:$E$34,Uebersetzungen!$B$2+1,FALSE)</f>
        <v>Veränderung zum
5-Jahresmittel 
in %</v>
      </c>
      <c r="G42" s="97"/>
      <c r="H42" s="97"/>
      <c r="I42" s="97"/>
      <c r="J42" s="97"/>
      <c r="K42" s="96"/>
    </row>
    <row r="43" spans="1:11" x14ac:dyDescent="0.2">
      <c r="A43" s="24" t="str">
        <f>VLOOKUP("&lt;Zeilentitel_25&gt;",Uebersetzungen!$B$4:$E$77,Uebersetzungen!$B$2+1,FALSE)</f>
        <v>Arosa</v>
      </c>
      <c r="B43" s="5"/>
      <c r="C43" s="13">
        <v>73038</v>
      </c>
      <c r="D43" s="17">
        <v>69320</v>
      </c>
      <c r="E43" s="10">
        <f>C43/D43-1</f>
        <v>5.363531448355463E-2</v>
      </c>
      <c r="F43" s="44">
        <v>0.23636893013240878</v>
      </c>
      <c r="G43" s="29"/>
      <c r="H43" s="98"/>
      <c r="I43" s="99"/>
      <c r="J43" s="100"/>
      <c r="K43" s="96"/>
    </row>
    <row r="44" spans="1:11" x14ac:dyDescent="0.2">
      <c r="A44" s="24" t="str">
        <f>VLOOKUP("&lt;Zeilentitel_26&gt;",Uebersetzungen!$B$4:$E$77,Uebersetzungen!$B$2+1,FALSE)</f>
        <v>Bergün Filisur</v>
      </c>
      <c r="B44" s="5"/>
      <c r="C44" s="13">
        <v>7229</v>
      </c>
      <c r="D44" s="17">
        <v>8780</v>
      </c>
      <c r="E44" s="10">
        <f t="shared" ref="E44:E61" si="1">C44/D44-1</f>
        <v>-0.17665148063781322</v>
      </c>
      <c r="F44" s="44">
        <v>4.7054915854727319E-4</v>
      </c>
      <c r="G44" s="29"/>
      <c r="H44" s="98"/>
      <c r="I44" s="99"/>
      <c r="J44" s="100"/>
      <c r="K44" s="96"/>
    </row>
    <row r="45" spans="1:11" x14ac:dyDescent="0.2">
      <c r="A45" s="24" t="str">
        <f>VLOOKUP("&lt;Zeilentitel_27&gt;",Uebersetzungen!$B$4:$E$77,Uebersetzungen!$B$2+1,FALSE)</f>
        <v>Bregaglia Engadin</v>
      </c>
      <c r="B45" s="5"/>
      <c r="C45" s="13">
        <v>303</v>
      </c>
      <c r="D45" s="17">
        <v>202</v>
      </c>
      <c r="E45" s="10">
        <f t="shared" si="1"/>
        <v>0.5</v>
      </c>
      <c r="F45" s="44">
        <v>0.97009102730819241</v>
      </c>
      <c r="G45" s="29"/>
      <c r="H45" s="98"/>
      <c r="I45" s="99"/>
      <c r="J45" s="100"/>
      <c r="K45" s="96"/>
    </row>
    <row r="46" spans="1:11" x14ac:dyDescent="0.2">
      <c r="A46" s="24" t="str">
        <f>VLOOKUP("&lt;Zeilentitel_28&gt;",Uebersetzungen!$B$4:$E$77,Uebersetzungen!$B$2+1,FALSE)</f>
        <v>Bündner Herrschaft</v>
      </c>
      <c r="B46" s="5"/>
      <c r="C46" s="13">
        <v>4108</v>
      </c>
      <c r="D46" s="17">
        <v>2835</v>
      </c>
      <c r="E46" s="10">
        <f t="shared" si="1"/>
        <v>0.44902998236331571</v>
      </c>
      <c r="F46" s="44">
        <v>0.56114615793873979</v>
      </c>
      <c r="G46" s="29"/>
      <c r="H46" s="98"/>
      <c r="I46" s="99"/>
      <c r="J46" s="100"/>
      <c r="K46" s="96"/>
    </row>
    <row r="47" spans="1:11" x14ac:dyDescent="0.2">
      <c r="A47" s="24" t="str">
        <f>VLOOKUP("&lt;Zeilentitel_29&gt;",Uebersetzungen!$B$4:$E$77,Uebersetzungen!$B$2+1,FALSE)</f>
        <v>Chur</v>
      </c>
      <c r="B47" s="5"/>
      <c r="C47" s="13">
        <v>17687</v>
      </c>
      <c r="D47" s="17">
        <v>15062</v>
      </c>
      <c r="E47" s="10">
        <f t="shared" si="1"/>
        <v>0.17427964413756469</v>
      </c>
      <c r="F47" s="44">
        <v>0.43179794381931513</v>
      </c>
      <c r="G47" s="29"/>
      <c r="H47" s="98"/>
      <c r="I47" s="99"/>
      <c r="J47" s="100"/>
      <c r="K47" s="96"/>
    </row>
    <row r="48" spans="1:11" x14ac:dyDescent="0.2">
      <c r="A48" s="24" t="str">
        <f>VLOOKUP("&lt;Zeilentitel_30&gt;",Uebersetzungen!$B$4:$E$77,Uebersetzungen!$B$2+1,FALSE)</f>
        <v>Davos Klosters</v>
      </c>
      <c r="B48" s="5"/>
      <c r="C48" s="13">
        <v>133799</v>
      </c>
      <c r="D48" s="17">
        <v>132405</v>
      </c>
      <c r="E48" s="10">
        <f t="shared" si="1"/>
        <v>1.0528303311808429E-2</v>
      </c>
      <c r="F48" s="44">
        <v>0.19305100554086274</v>
      </c>
      <c r="G48" s="29"/>
      <c r="H48" s="98"/>
      <c r="I48" s="99"/>
      <c r="J48" s="100"/>
      <c r="K48" s="96"/>
    </row>
    <row r="49" spans="1:11" x14ac:dyDescent="0.2">
      <c r="A49" s="24" t="str">
        <f>VLOOKUP("&lt;Zeilentitel_31&gt;",Uebersetzungen!$B$4:$E$77,Uebersetzungen!$B$2+1,FALSE)</f>
        <v>Disentis Sedrun</v>
      </c>
      <c r="B49" s="5"/>
      <c r="C49" s="13">
        <v>18518</v>
      </c>
      <c r="D49" s="17">
        <v>18113</v>
      </c>
      <c r="E49" s="10">
        <f t="shared" si="1"/>
        <v>2.2359631204107444E-2</v>
      </c>
      <c r="F49" s="44">
        <v>0.40145609759789314</v>
      </c>
      <c r="G49" s="29"/>
      <c r="H49" s="98"/>
      <c r="I49" s="99"/>
      <c r="J49" s="100"/>
      <c r="K49" s="96"/>
    </row>
    <row r="50" spans="1:11" x14ac:dyDescent="0.2">
      <c r="A50" s="24" t="str">
        <f>VLOOKUP("&lt;Zeilentitel_32&gt;",Uebersetzungen!$B$4:$E$77,Uebersetzungen!$B$2+1,FALSE)</f>
        <v>Scuol Samnaun Val Müstair</v>
      </c>
      <c r="B50" s="5"/>
      <c r="C50" s="13">
        <v>64661</v>
      </c>
      <c r="D50" s="17">
        <v>63234</v>
      </c>
      <c r="E50" s="10">
        <f t="shared" si="1"/>
        <v>2.2566973463642892E-2</v>
      </c>
      <c r="F50" s="44">
        <v>0.20571859045360119</v>
      </c>
      <c r="G50" s="29"/>
      <c r="H50" s="98"/>
      <c r="I50" s="99"/>
      <c r="J50" s="100"/>
      <c r="K50" s="96"/>
    </row>
    <row r="51" spans="1:11" x14ac:dyDescent="0.2">
      <c r="A51" s="24" t="str">
        <f>VLOOKUP("&lt;Zeilentitel_33&gt;",Uebersetzungen!$B$4:$E$77,Uebersetzungen!$B$2+1,FALSE)</f>
        <v>Engadin St. Moritz</v>
      </c>
      <c r="B51" s="5"/>
      <c r="C51" s="13">
        <v>227397</v>
      </c>
      <c r="D51" s="17">
        <v>218596</v>
      </c>
      <c r="E51" s="10">
        <f t="shared" si="1"/>
        <v>4.0261486943951486E-2</v>
      </c>
      <c r="F51" s="44">
        <v>0.2288780422428347</v>
      </c>
      <c r="G51" s="29"/>
      <c r="H51" s="98"/>
      <c r="I51" s="99"/>
      <c r="J51" s="100"/>
      <c r="K51" s="96"/>
    </row>
    <row r="52" spans="1:11" x14ac:dyDescent="0.2">
      <c r="A52" s="24" t="str">
        <f>VLOOKUP("&lt;Zeilentitel_34&gt;",Uebersetzungen!$B$4:$E$77,Uebersetzungen!$B$2+1,FALSE)</f>
        <v>Flims Laax</v>
      </c>
      <c r="B52" s="5"/>
      <c r="C52" s="13">
        <v>67511</v>
      </c>
      <c r="D52" s="17">
        <v>68682</v>
      </c>
      <c r="E52" s="10">
        <f t="shared" si="1"/>
        <v>-1.7049590868058573E-2</v>
      </c>
      <c r="F52" s="44">
        <v>6.4785169249598651E-2</v>
      </c>
      <c r="G52" s="29"/>
      <c r="H52" s="98"/>
      <c r="I52" s="99"/>
      <c r="J52" s="100"/>
      <c r="K52" s="96"/>
    </row>
    <row r="53" spans="1:11" x14ac:dyDescent="0.2">
      <c r="A53" s="24" t="str">
        <f>VLOOKUP("&lt;Zeilentitel_35&gt;",Uebersetzungen!$B$4:$E$77,Uebersetzungen!$B$2+1,FALSE)</f>
        <v>Lenzerheide</v>
      </c>
      <c r="B53" s="5"/>
      <c r="C53" s="13">
        <v>49144</v>
      </c>
      <c r="D53" s="17">
        <v>47559</v>
      </c>
      <c r="E53" s="10">
        <f t="shared" si="1"/>
        <v>3.3327025379003006E-2</v>
      </c>
      <c r="F53" s="44">
        <v>0.14864833279575174</v>
      </c>
      <c r="G53" s="29"/>
      <c r="H53" s="98"/>
      <c r="I53" s="99"/>
      <c r="J53" s="100"/>
      <c r="K53" s="96"/>
    </row>
    <row r="54" spans="1:11" x14ac:dyDescent="0.2">
      <c r="A54" s="24" t="str">
        <f>VLOOKUP("&lt;Zeilentitel_36&gt;",Uebersetzungen!$B$4:$E$77,Uebersetzungen!$B$2+1,FALSE)</f>
        <v>Prättigau</v>
      </c>
      <c r="B54" s="5"/>
      <c r="C54" s="13">
        <v>9907</v>
      </c>
      <c r="D54" s="17">
        <v>10066</v>
      </c>
      <c r="E54" s="10">
        <f t="shared" si="1"/>
        <v>-1.5795748062785608E-2</v>
      </c>
      <c r="F54" s="44">
        <v>0.2545905832890103</v>
      </c>
      <c r="G54" s="29"/>
      <c r="H54" s="98"/>
      <c r="I54" s="99"/>
      <c r="J54" s="100"/>
      <c r="K54" s="96"/>
    </row>
    <row r="55" spans="1:11" x14ac:dyDescent="0.2">
      <c r="A55" s="24" t="str">
        <f>VLOOKUP("&lt;Zeilentitel_37&gt;",Uebersetzungen!$B$4:$E$77,Uebersetzungen!$B$2+1,FALSE)</f>
        <v>San Bernardino, Mesolcina/Calanca</v>
      </c>
      <c r="B55" s="5"/>
      <c r="C55" s="13">
        <v>2362</v>
      </c>
      <c r="D55" s="17">
        <v>2195</v>
      </c>
      <c r="E55" s="10">
        <f t="shared" si="1"/>
        <v>7.6082004555808602E-2</v>
      </c>
      <c r="F55" s="44">
        <v>0.20056927925180434</v>
      </c>
      <c r="G55" s="29"/>
      <c r="H55" s="98"/>
      <c r="I55" s="99"/>
      <c r="J55" s="100"/>
      <c r="K55" s="96"/>
    </row>
    <row r="56" spans="1:11" x14ac:dyDescent="0.2">
      <c r="A56" s="24" t="str">
        <f>VLOOKUP("&lt;Zeilentitel_38&gt;",Uebersetzungen!$B$4:$E$77,Uebersetzungen!$B$2+1,FALSE)</f>
        <v>Val Surses</v>
      </c>
      <c r="B56" s="5"/>
      <c r="C56" s="13">
        <v>12958</v>
      </c>
      <c r="D56" s="17">
        <v>11386</v>
      </c>
      <c r="E56" s="10">
        <f t="shared" si="1"/>
        <v>0.13806428947830662</v>
      </c>
      <c r="F56" s="44">
        <v>0.49299474605954452</v>
      </c>
      <c r="G56" s="29"/>
      <c r="H56" s="98"/>
      <c r="I56" s="99"/>
      <c r="J56" s="100"/>
      <c r="K56" s="96"/>
    </row>
    <row r="57" spans="1:11" x14ac:dyDescent="0.2">
      <c r="A57" s="24" t="str">
        <f>VLOOKUP("&lt;Zeilentitel_39&gt;",Uebersetzungen!$B$4:$E$77,Uebersetzungen!$B$2+1,FALSE)</f>
        <v>Surselva</v>
      </c>
      <c r="B57" s="5"/>
      <c r="C57" s="13">
        <v>13977</v>
      </c>
      <c r="D57" s="17">
        <v>12445</v>
      </c>
      <c r="E57" s="10">
        <f t="shared" si="1"/>
        <v>0.12310164724789074</v>
      </c>
      <c r="F57" s="44">
        <v>0.15489489687995772</v>
      </c>
      <c r="G57" s="29"/>
      <c r="H57" s="98"/>
      <c r="I57" s="99"/>
      <c r="J57" s="100"/>
      <c r="K57" s="96"/>
    </row>
    <row r="58" spans="1:11" x14ac:dyDescent="0.2">
      <c r="A58" s="24" t="str">
        <f>VLOOKUP("&lt;Zeilentitel_40&gt;",Uebersetzungen!$B$4:$E$77,Uebersetzungen!$B$2+1,FALSE)</f>
        <v>Valposchiavo</v>
      </c>
      <c r="B58" s="5"/>
      <c r="C58" s="13">
        <v>2858</v>
      </c>
      <c r="D58" s="17">
        <v>2739</v>
      </c>
      <c r="E58" s="10">
        <f t="shared" si="1"/>
        <v>4.3446513326031333E-2</v>
      </c>
      <c r="F58" s="44">
        <v>0.47639218927575167</v>
      </c>
      <c r="G58" s="29"/>
      <c r="H58" s="98"/>
      <c r="I58" s="99"/>
      <c r="J58" s="100"/>
      <c r="K58" s="96"/>
    </row>
    <row r="59" spans="1:11" x14ac:dyDescent="0.2">
      <c r="A59" s="24" t="str">
        <f>VLOOKUP("&lt;Zeilentitel_41&gt;",Uebersetzungen!$B$4:$E$77,Uebersetzungen!$B$2+1,FALSE)</f>
        <v>Vals</v>
      </c>
      <c r="B59" s="5"/>
      <c r="C59" s="13">
        <v>7662</v>
      </c>
      <c r="D59" s="17">
        <v>7439</v>
      </c>
      <c r="E59" s="10">
        <f t="shared" si="1"/>
        <v>2.9977147466057286E-2</v>
      </c>
      <c r="F59" s="44">
        <v>0.12030646859281791</v>
      </c>
      <c r="G59" s="29"/>
      <c r="H59" s="98"/>
      <c r="I59" s="99"/>
      <c r="J59" s="100"/>
      <c r="K59" s="96"/>
    </row>
    <row r="60" spans="1:11" x14ac:dyDescent="0.2">
      <c r="A60" s="24" t="str">
        <f>VLOOKUP("&lt;Zeilentitel_42&gt;",Uebersetzungen!$B$4:$E$77,Uebersetzungen!$B$2+1,FALSE)</f>
        <v>Viamala</v>
      </c>
      <c r="B60" s="7"/>
      <c r="C60" s="14">
        <v>7261</v>
      </c>
      <c r="D60" s="18">
        <v>6371</v>
      </c>
      <c r="E60" s="11">
        <f t="shared" si="1"/>
        <v>0.13969549521268254</v>
      </c>
      <c r="F60" s="46">
        <v>0.17869549689945141</v>
      </c>
      <c r="G60" s="29"/>
      <c r="H60" s="98"/>
      <c r="I60" s="99"/>
      <c r="J60" s="100"/>
      <c r="K60" s="96"/>
    </row>
    <row r="61" spans="1:11" ht="13.5" thickBot="1" x14ac:dyDescent="0.25">
      <c r="A61" s="26" t="str">
        <f>VLOOKUP("&lt;Zeilentitel_43&gt;",Uebersetzungen!$B$4:$E$77,Uebersetzungen!$B$2+1,FALSE)</f>
        <v>Graubünden</v>
      </c>
      <c r="B61" s="6"/>
      <c r="C61" s="30">
        <v>720380</v>
      </c>
      <c r="D61" s="40">
        <v>697429</v>
      </c>
      <c r="E61" s="65">
        <f t="shared" si="1"/>
        <v>3.2908009274062344E-2</v>
      </c>
      <c r="F61" s="66">
        <v>0.20617813421632558</v>
      </c>
      <c r="G61" s="29"/>
      <c r="H61" s="36"/>
      <c r="I61" s="37"/>
      <c r="J61" s="37"/>
      <c r="K61" s="96"/>
    </row>
    <row r="62" spans="1:11" x14ac:dyDescent="0.2">
      <c r="G62" s="96"/>
      <c r="H62" s="96"/>
      <c r="I62" s="96"/>
      <c r="J62" s="96"/>
      <c r="K62" s="96"/>
    </row>
    <row r="63" spans="1:11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1" ht="10.5" customHeight="1" x14ac:dyDescent="0.2"/>
    <row r="66" spans="1:11" ht="18" x14ac:dyDescent="0.25">
      <c r="A66" s="2" t="str">
        <f>VLOOKUP("&lt;Titel3&gt;",Uebersetzungen!$B$4:$E$31,Uebersetzungen!$B$2+1,FALSE)</f>
        <v>Hotel- und Kurbetriebe: Logiernächte im Januar 2024, nach Schweizer Tourismusregionen</v>
      </c>
      <c r="B66" s="3"/>
      <c r="C66" s="3"/>
      <c r="D66" s="3"/>
      <c r="E66" s="3"/>
      <c r="F66" s="3"/>
    </row>
    <row r="67" spans="1:11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1" ht="18.75" customHeight="1" thickBot="1" x14ac:dyDescent="0.3">
      <c r="A68" s="50"/>
      <c r="G68" s="96"/>
      <c r="H68" s="96"/>
      <c r="I68" s="96"/>
      <c r="J68" s="96"/>
      <c r="K68" s="96"/>
    </row>
    <row r="69" spans="1:11" ht="51" customHeight="1" x14ac:dyDescent="0.2">
      <c r="A69" s="8"/>
      <c r="B69" s="9"/>
      <c r="C69" s="20" t="str">
        <f>VLOOKUP("&lt;SpaltenTitel_1&gt;",Uebersetzungen!$B$4:$E$34,Uebersetzungen!$B$2+1,FALSE)</f>
        <v>Januar 2024</v>
      </c>
      <c r="D69" s="21" t="str">
        <f>VLOOKUP("&lt;SpaltenTitel_2&gt;",Uebersetzungen!$B$4:$E$34,Uebersetzungen!$B$2+1,FALSE)</f>
        <v>Januar 2023</v>
      </c>
      <c r="E69" s="22" t="str">
        <f>VLOOKUP("&lt;SpaltenTitel_3&gt;",Uebersetzungen!$B$4:$E$34,Uebersetzungen!$B$2+1,FALSE)</f>
        <v>Veränderung 24/23 in %</v>
      </c>
      <c r="F69" s="23" t="str">
        <f>VLOOKUP("&lt;SpaltenTitel_4&gt;",Uebersetzungen!$B$4:$E$34,Uebersetzungen!$B$2+1,FALSE)</f>
        <v>Veränderung zum
5-Jahresmittel 
in %</v>
      </c>
      <c r="G69" s="97"/>
      <c r="H69" s="97"/>
      <c r="I69" s="97"/>
      <c r="J69" s="97"/>
      <c r="K69" s="96"/>
    </row>
    <row r="70" spans="1:11" x14ac:dyDescent="0.2">
      <c r="A70" s="24" t="str">
        <f>VLOOKUP("&lt;Zeilentitel_44&gt;",Uebersetzungen!$B$4:$E$77,Uebersetzungen!$B$2+1,FALSE)</f>
        <v>Aargau und Solothurn Region</v>
      </c>
      <c r="B70" s="5"/>
      <c r="C70" s="13">
        <v>72778</v>
      </c>
      <c r="D70" s="17">
        <v>69417</v>
      </c>
      <c r="E70" s="10">
        <f>C70/D70-1</f>
        <v>4.8417534609677793E-2</v>
      </c>
      <c r="F70" s="44">
        <v>0.31093266469967329</v>
      </c>
      <c r="G70" s="29"/>
      <c r="H70" s="98"/>
      <c r="I70" s="99"/>
      <c r="J70" s="100"/>
      <c r="K70" s="96"/>
    </row>
    <row r="71" spans="1:11" x14ac:dyDescent="0.2">
      <c r="A71" s="24" t="str">
        <f>VLOOKUP("&lt;Zeilentitel_45&gt;",Uebersetzungen!$B$4:$E$77,Uebersetzungen!$B$2+1,FALSE)</f>
        <v>Basel Region</v>
      </c>
      <c r="B71" s="5"/>
      <c r="C71" s="13">
        <v>100659</v>
      </c>
      <c r="D71" s="17">
        <v>91677</v>
      </c>
      <c r="E71" s="10">
        <f t="shared" ref="E71:E83" si="2">C71/D71-1</f>
        <v>9.7974410157400493E-2</v>
      </c>
      <c r="F71" s="44">
        <v>0.35944843606504251</v>
      </c>
      <c r="G71" s="29"/>
      <c r="H71" s="98"/>
      <c r="I71" s="99"/>
      <c r="J71" s="100"/>
      <c r="K71" s="96"/>
    </row>
    <row r="72" spans="1:11" x14ac:dyDescent="0.2">
      <c r="A72" s="24" t="str">
        <f>VLOOKUP("&lt;Zeilentitel_46&gt;",Uebersetzungen!$B$4:$E$77,Uebersetzungen!$B$2+1,FALSE)</f>
        <v>Bern Region</v>
      </c>
      <c r="B72" s="5"/>
      <c r="C72" s="13">
        <v>396227</v>
      </c>
      <c r="D72" s="17">
        <v>392655</v>
      </c>
      <c r="E72" s="10">
        <f t="shared" si="2"/>
        <v>9.0970444792501937E-3</v>
      </c>
      <c r="F72" s="44">
        <v>0.22809143667608489</v>
      </c>
      <c r="G72" s="29"/>
      <c r="H72" s="98"/>
      <c r="I72" s="99"/>
      <c r="J72" s="100"/>
      <c r="K72" s="96"/>
    </row>
    <row r="73" spans="1:11" x14ac:dyDescent="0.2">
      <c r="A73" s="24" t="str">
        <f>VLOOKUP("&lt;Zeilentitel_47&gt;",Uebersetzungen!$B$4:$E$77,Uebersetzungen!$B$2+1,FALSE)</f>
        <v>Fribourg Region</v>
      </c>
      <c r="B73" s="5"/>
      <c r="C73" s="13">
        <v>30032</v>
      </c>
      <c r="D73" s="17">
        <v>28126</v>
      </c>
      <c r="E73" s="10">
        <f t="shared" si="2"/>
        <v>6.7766479414065328E-2</v>
      </c>
      <c r="F73" s="44">
        <v>0.32068004116131199</v>
      </c>
      <c r="G73" s="29"/>
      <c r="H73" s="98"/>
      <c r="I73" s="99"/>
      <c r="J73" s="100"/>
      <c r="K73" s="96"/>
    </row>
    <row r="74" spans="1:11" x14ac:dyDescent="0.2">
      <c r="A74" s="24" t="str">
        <f>VLOOKUP("&lt;Zeilentitel_48&gt;",Uebersetzungen!$B$4:$E$77,Uebersetzungen!$B$2+1,FALSE)</f>
        <v>Genf</v>
      </c>
      <c r="B74" s="5"/>
      <c r="C74" s="13">
        <v>245107</v>
      </c>
      <c r="D74" s="17">
        <v>220557</v>
      </c>
      <c r="E74" s="10">
        <f t="shared" si="2"/>
        <v>0.11130909470114303</v>
      </c>
      <c r="F74" s="44">
        <v>0.47662469260455675</v>
      </c>
      <c r="G74" s="29"/>
      <c r="H74" s="98"/>
      <c r="I74" s="99"/>
      <c r="J74" s="100"/>
      <c r="K74" s="96"/>
    </row>
    <row r="75" spans="1:11" x14ac:dyDescent="0.2">
      <c r="A75" s="110" t="str">
        <f>VLOOKUP("&lt;Zeilentitel_49&gt;",Uebersetzungen!$B$4:$E$77,Uebersetzungen!$B$2+1,FALSE)</f>
        <v>Graubünden</v>
      </c>
      <c r="B75" s="60"/>
      <c r="C75" s="61">
        <v>720380</v>
      </c>
      <c r="D75" s="62">
        <v>697429</v>
      </c>
      <c r="E75" s="63">
        <f t="shared" si="2"/>
        <v>3.2908009274062344E-2</v>
      </c>
      <c r="F75" s="64">
        <v>0.20617813421632558</v>
      </c>
      <c r="G75" s="29"/>
      <c r="H75" s="98"/>
      <c r="I75" s="99"/>
      <c r="J75" s="100"/>
      <c r="K75" s="96"/>
    </row>
    <row r="76" spans="1:11" x14ac:dyDescent="0.2">
      <c r="A76" s="24" t="str">
        <f>VLOOKUP("&lt;Zeilentitel_50&gt;",Uebersetzungen!$B$4:$E$77,Uebersetzungen!$B$2+1,FALSE)</f>
        <v>Jura &amp; Drei-Seen-Land</v>
      </c>
      <c r="B76" s="5"/>
      <c r="C76" s="13">
        <v>27055</v>
      </c>
      <c r="D76" s="17">
        <v>29778</v>
      </c>
      <c r="E76" s="10">
        <f t="shared" si="2"/>
        <v>-9.1443347437705658E-2</v>
      </c>
      <c r="F76" s="44">
        <v>9.7450167527968645E-2</v>
      </c>
      <c r="G76" s="29"/>
      <c r="H76" s="98"/>
      <c r="I76" s="99"/>
      <c r="J76" s="100"/>
      <c r="K76" s="96"/>
    </row>
    <row r="77" spans="1:11" x14ac:dyDescent="0.2">
      <c r="A77" s="24" t="str">
        <f>VLOOKUP("&lt;Zeilentitel_51&gt;",Uebersetzungen!$B$4:$E$77,Uebersetzungen!$B$2+1,FALSE)</f>
        <v>Luzern / Vierwaldstättersee</v>
      </c>
      <c r="B77" s="5"/>
      <c r="C77" s="13">
        <v>224520</v>
      </c>
      <c r="D77" s="17">
        <v>224801</v>
      </c>
      <c r="E77" s="10">
        <f t="shared" si="2"/>
        <v>-1.2499944395265583E-3</v>
      </c>
      <c r="F77" s="44">
        <v>0.19426167160463614</v>
      </c>
      <c r="G77" s="29"/>
      <c r="H77" s="98"/>
      <c r="I77" s="99"/>
      <c r="J77" s="100"/>
      <c r="K77" s="96"/>
    </row>
    <row r="78" spans="1:11" x14ac:dyDescent="0.2">
      <c r="A78" s="24" t="str">
        <f>VLOOKUP("&lt;Zeilentitel_52&gt;",Uebersetzungen!$B$4:$E$77,Uebersetzungen!$B$2+1,FALSE)</f>
        <v>Ostschweiz</v>
      </c>
      <c r="B78" s="5"/>
      <c r="C78" s="13">
        <v>122244</v>
      </c>
      <c r="D78" s="17">
        <v>120789</v>
      </c>
      <c r="E78" s="10">
        <f t="shared" si="2"/>
        <v>1.204579887241386E-2</v>
      </c>
      <c r="F78" s="44">
        <v>0.19893370576477576</v>
      </c>
      <c r="G78" s="29"/>
      <c r="H78" s="98"/>
      <c r="I78" s="99"/>
      <c r="J78" s="100"/>
      <c r="K78" s="96"/>
    </row>
    <row r="79" spans="1:11" x14ac:dyDescent="0.2">
      <c r="A79" s="24" t="str">
        <f>VLOOKUP("&lt;Zeilentitel_53&gt;",Uebersetzungen!$B$4:$E$77,Uebersetzungen!$B$2+1,FALSE)</f>
        <v>Tessin</v>
      </c>
      <c r="B79" s="5"/>
      <c r="C79" s="13">
        <v>59890</v>
      </c>
      <c r="D79" s="17">
        <v>61606</v>
      </c>
      <c r="E79" s="10">
        <f t="shared" si="2"/>
        <v>-2.7854429763334743E-2</v>
      </c>
      <c r="F79" s="44">
        <v>8.431160968403062E-2</v>
      </c>
      <c r="G79" s="29"/>
      <c r="H79" s="98"/>
      <c r="I79" s="99"/>
      <c r="J79" s="100"/>
      <c r="K79" s="96"/>
    </row>
    <row r="80" spans="1:11" x14ac:dyDescent="0.2">
      <c r="A80" s="24" t="str">
        <f>VLOOKUP("&lt;Zeilentitel_54&gt;",Uebersetzungen!$B$4:$E$77,Uebersetzungen!$B$2+1,FALSE)</f>
        <v>Waadt</v>
      </c>
      <c r="B80" s="5"/>
      <c r="C80" s="13">
        <v>170606</v>
      </c>
      <c r="D80" s="17">
        <v>172939</v>
      </c>
      <c r="E80" s="10">
        <f t="shared" si="2"/>
        <v>-1.3490305830379468E-2</v>
      </c>
      <c r="F80" s="44">
        <v>0.10948386752734263</v>
      </c>
      <c r="G80" s="29"/>
      <c r="H80" s="98"/>
      <c r="I80" s="99"/>
      <c r="J80" s="100"/>
      <c r="K80" s="96"/>
    </row>
    <row r="81" spans="1:11" x14ac:dyDescent="0.2">
      <c r="A81" s="24" t="str">
        <f>VLOOKUP("&lt;Zeilentitel_55&gt;",Uebersetzungen!$B$4:$E$77,Uebersetzungen!$B$2+1,FALSE)</f>
        <v>Wallis</v>
      </c>
      <c r="B81" s="5"/>
      <c r="C81" s="32">
        <v>466557</v>
      </c>
      <c r="D81" s="17">
        <v>468456</v>
      </c>
      <c r="E81" s="33">
        <f t="shared" si="2"/>
        <v>-4.0537425073006172E-3</v>
      </c>
      <c r="F81" s="44">
        <v>0.18093811475949262</v>
      </c>
      <c r="G81" s="29"/>
      <c r="H81" s="98"/>
      <c r="I81" s="99"/>
      <c r="J81" s="100"/>
      <c r="K81" s="96"/>
    </row>
    <row r="82" spans="1:11" x14ac:dyDescent="0.2">
      <c r="A82" s="24" t="str">
        <f>VLOOKUP("&lt;Zeilentitel_56&gt;",Uebersetzungen!$B$4:$E$77,Uebersetzungen!$B$2+1,FALSE)</f>
        <v>Zürich Region</v>
      </c>
      <c r="B82" s="7"/>
      <c r="C82" s="42">
        <v>431156</v>
      </c>
      <c r="D82" s="18">
        <v>424322</v>
      </c>
      <c r="E82" s="43">
        <f t="shared" si="2"/>
        <v>1.6105693317810532E-2</v>
      </c>
      <c r="F82" s="48">
        <v>0.37308903951664352</v>
      </c>
      <c r="G82" s="29"/>
      <c r="H82" s="98"/>
      <c r="I82" s="99"/>
      <c r="J82" s="99"/>
      <c r="K82" s="96"/>
    </row>
    <row r="83" spans="1:11" ht="13.5" thickBot="1" x14ac:dyDescent="0.25">
      <c r="A83" s="71" t="str">
        <f>VLOOKUP("&lt;Zeilentitel_57&gt;",Uebersetzungen!$B$4:$E$77,Uebersetzungen!$B$2+1,FALSE)</f>
        <v>Schweiz</v>
      </c>
      <c r="B83" s="39"/>
      <c r="C83" s="30">
        <v>3067211</v>
      </c>
      <c r="D83" s="40">
        <v>3002552</v>
      </c>
      <c r="E83" s="41">
        <f t="shared" si="2"/>
        <v>2.1534681164556035E-2</v>
      </c>
      <c r="F83" s="45">
        <v>0.24135201009914264</v>
      </c>
      <c r="G83" s="29"/>
      <c r="H83" s="36"/>
      <c r="I83" s="37"/>
      <c r="J83" s="38"/>
      <c r="K83" s="96"/>
    </row>
    <row r="84" spans="1:11" x14ac:dyDescent="0.2">
      <c r="A84" s="34"/>
      <c r="B84" s="35"/>
      <c r="C84" s="29"/>
      <c r="D84" s="36"/>
      <c r="E84" s="37"/>
      <c r="F84" s="38"/>
      <c r="G84" s="96"/>
      <c r="H84" s="96"/>
      <c r="I84" s="96"/>
      <c r="J84" s="96"/>
      <c r="K84" s="96"/>
    </row>
    <row r="85" spans="1:11" x14ac:dyDescent="0.2">
      <c r="A85" s="4" t="str">
        <f>VLOOKUP("&lt;Quelle_1&gt;",Uebersetzungen!$B$4:$E$85,Uebersetzungen!$B$2+1,FALSE)</f>
        <v>Quelle: BFS (HESTA)</v>
      </c>
    </row>
    <row r="86" spans="1:11" ht="12.75" customHeight="1" x14ac:dyDescent="0.2">
      <c r="A86" s="4" t="str">
        <f>VLOOKUP("&lt;Aktualisierung&gt;",Uebersetzungen!$B$4:$E$85,Uebersetzungen!$B$2+1,FALSE)</f>
        <v>Letztmals aktualisiert am: 07.03.2024</v>
      </c>
    </row>
    <row r="87" spans="1:11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1" x14ac:dyDescent="0.2">
      <c r="A88" s="31" t="str">
        <f>VLOOKUP("&lt;Legende_3&gt;",Uebersetzungen!$B$4:$E$85,Uebersetzungen!$B$2+1,FALSE)</f>
        <v>Daten des Februar 2024 erscheinen am 8. April 2024.</v>
      </c>
    </row>
    <row r="90" spans="1:11" x14ac:dyDescent="0.2">
      <c r="A90" s="4" t="s">
        <v>57</v>
      </c>
    </row>
  </sheetData>
  <sheetProtection sheet="1" objects="1" scenarios="1"/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Option Button 1">
              <controlPr defaultSize="0" autoFill="0" autoLine="0" autoPict="0">
                <anchor moveWithCells="1">
                  <from>
                    <xdr:col>6</xdr:col>
                    <xdr:colOff>76200</xdr:colOff>
                    <xdr:row>1</xdr:row>
                    <xdr:rowOff>114300</xdr:rowOff>
                  </from>
                  <to>
                    <xdr:col>7</xdr:col>
                    <xdr:colOff>400050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Option Button 2">
              <controlPr defaultSize="0" autoFill="0" autoLine="0" autoPict="0">
                <anchor moveWithCells="1">
                  <from>
                    <xdr:col>6</xdr:col>
                    <xdr:colOff>76200</xdr:colOff>
                    <xdr:row>2</xdr:row>
                    <xdr:rowOff>104775</xdr:rowOff>
                  </from>
                  <to>
                    <xdr:col>8</xdr:col>
                    <xdr:colOff>47625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Option Button 3">
              <controlPr defaultSize="0" autoFill="0" autoLine="0" autoPict="0">
                <anchor moveWithCells="1">
                  <from>
                    <xdr:col>6</xdr:col>
                    <xdr:colOff>76200</xdr:colOff>
                    <xdr:row>3</xdr:row>
                    <xdr:rowOff>66675</xdr:rowOff>
                  </from>
                  <to>
                    <xdr:col>7</xdr:col>
                    <xdr:colOff>400050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239"/>
  <sheetViews>
    <sheetView topLeftCell="A55" workbookViewId="0">
      <selection activeCell="E98" sqref="E98"/>
    </sheetView>
  </sheetViews>
  <sheetFormatPr baseColWidth="10" defaultColWidth="12.5703125" defaultRowHeight="12.75" x14ac:dyDescent="0.2"/>
  <cols>
    <col min="1" max="1" width="8.5703125" style="70" bestFit="1" customWidth="1"/>
    <col min="2" max="2" width="17.7109375" style="70" bestFit="1" customWidth="1"/>
    <col min="3" max="3" width="53" style="70" customWidth="1"/>
    <col min="4" max="4" width="47.5703125" style="70" bestFit="1" customWidth="1"/>
    <col min="5" max="5" width="42.28515625" style="70" customWidth="1"/>
    <col min="6" max="16384" width="12.5703125" style="70"/>
  </cols>
  <sheetData>
    <row r="1" spans="1:6" x14ac:dyDescent="0.2">
      <c r="A1" s="91" t="s">
        <v>58</v>
      </c>
      <c r="B1" s="91" t="s">
        <v>59</v>
      </c>
      <c r="C1" s="91" t="s">
        <v>60</v>
      </c>
      <c r="D1" s="91" t="s">
        <v>61</v>
      </c>
      <c r="E1" s="91" t="s">
        <v>62</v>
      </c>
      <c r="F1" s="90"/>
    </row>
    <row r="2" spans="1:6" ht="13.5" thickBot="1" x14ac:dyDescent="0.25">
      <c r="A2" s="89" t="s">
        <v>63</v>
      </c>
      <c r="B2" s="92">
        <v>1</v>
      </c>
      <c r="C2" s="92"/>
      <c r="D2" s="90"/>
      <c r="E2" s="90"/>
      <c r="F2" s="90"/>
    </row>
    <row r="3" spans="1:6" s="113" customFormat="1" ht="26.25" thickBot="1" x14ac:dyDescent="0.25">
      <c r="A3" s="111"/>
      <c r="B3" s="112" t="s">
        <v>362</v>
      </c>
      <c r="C3" s="115">
        <v>2024</v>
      </c>
      <c r="D3" s="114">
        <f>C3-2000</f>
        <v>24</v>
      </c>
    </row>
    <row r="4" spans="1:6" x14ac:dyDescent="0.2">
      <c r="A4" s="89"/>
      <c r="B4" s="116" t="s">
        <v>64</v>
      </c>
      <c r="C4" s="116" t="s">
        <v>65</v>
      </c>
      <c r="D4" s="116" t="s">
        <v>66</v>
      </c>
      <c r="E4" s="116" t="s">
        <v>67</v>
      </c>
      <c r="F4" s="90"/>
    </row>
    <row r="5" spans="1:6" x14ac:dyDescent="0.2">
      <c r="A5" s="89"/>
      <c r="B5" s="88" t="s">
        <v>363</v>
      </c>
      <c r="C5" s="88" t="s">
        <v>364</v>
      </c>
      <c r="D5" s="88" t="s">
        <v>365</v>
      </c>
      <c r="E5" s="88" t="s">
        <v>366</v>
      </c>
      <c r="F5" s="90"/>
    </row>
    <row r="6" spans="1:6" ht="51" x14ac:dyDescent="0.2">
      <c r="A6" s="89"/>
      <c r="B6" s="119" t="s">
        <v>367</v>
      </c>
      <c r="C6" s="118" t="s">
        <v>368</v>
      </c>
      <c r="D6" s="118" t="s">
        <v>369</v>
      </c>
      <c r="E6" s="118" t="s">
        <v>370</v>
      </c>
      <c r="F6" s="90"/>
    </row>
    <row r="7" spans="1:6" ht="25.5" x14ac:dyDescent="0.2">
      <c r="A7" s="89" t="s">
        <v>68</v>
      </c>
      <c r="B7" s="116" t="s">
        <v>106</v>
      </c>
      <c r="C7" s="116" t="str">
        <f>"Hotel- und Kurbetriebe: Logiernächte im Januar "&amp;$C$3&amp;", nach Herkunft"</f>
        <v>Hotel- und Kurbetriebe: Logiernächte im Januar 2024, nach Herkunft</v>
      </c>
      <c r="D7" s="116" t="str">
        <f>"Manaschis d' hotel e da cura: pernottaziuns il schaner "&amp;$C$3&amp;", tenor la derivanza"</f>
        <v>Manaschis d' hotel e da cura: pernottaziuns il schaner 2024, tenor la derivanza</v>
      </c>
      <c r="E7" s="116" t="str">
        <f>"Alberghi e stabilimenti di cura: pernottamenti nel mese di gennaio "&amp;$C$3&amp;", per provenienza"</f>
        <v>Alberghi e stabilimenti di cura: pernottamenti nel mese di gennaio 2024, per provenienza</v>
      </c>
      <c r="F7" s="90"/>
    </row>
    <row r="8" spans="1:6" ht="25.5" x14ac:dyDescent="0.2">
      <c r="A8" s="89"/>
      <c r="B8" s="116" t="s">
        <v>107</v>
      </c>
      <c r="C8" s="116" t="str">
        <f>"Hotel- und Kurbetriebe: Logiernächte im Januar "&amp;$C$3&amp;", nach Destinationen"</f>
        <v>Hotel- und Kurbetriebe: Logiernächte im Januar 2024, nach Destinationen</v>
      </c>
      <c r="D8" s="116" t="str">
        <f>"Manaschis d' hotel e da cura: pernottaziuns il schaner "&amp;$C$3&amp;", tenor destinaziuns"</f>
        <v>Manaschis d' hotel e da cura: pernottaziuns il schaner 2024, tenor destinaziuns</v>
      </c>
      <c r="E8" s="116" t="str">
        <f>"Alberghi e stabilimenti di cura: pernottamenti nel mese di gennaio "&amp;$C$3&amp;", per destinazione"</f>
        <v>Alberghi e stabilimenti di cura: pernottamenti nel mese di gennaio 2024, per destinazione</v>
      </c>
      <c r="F8" s="90"/>
    </row>
    <row r="9" spans="1:6" ht="38.25" x14ac:dyDescent="0.2">
      <c r="A9" s="89"/>
      <c r="B9" s="116" t="s">
        <v>108</v>
      </c>
      <c r="C9" s="116" t="str">
        <f>"Hotel- und Kurbetriebe: Logiernächte im Januar "&amp;$C$3&amp;", nach Schweizer Tourismusregionen"</f>
        <v>Hotel- und Kurbetriebe: Logiernächte im Januar 2024, nach Schweizer Tourismusregionen</v>
      </c>
      <c r="D9" s="116" t="str">
        <f>"Manaschis d' hotel e da cura: pernottaziuns il schaner "&amp;$C$3&amp;", tenor regiuns turisticas svizras"</f>
        <v>Manaschis d' hotel e da cura: pernottaziuns il schaner 2024, tenor regiuns turisticas svizras</v>
      </c>
      <c r="E9" s="116" t="str">
        <f>"Alberghi e stabilimenti di cura: pernottamenti nel mese di gennaio "&amp;$C$3&amp;", per regioni turistiche svizzere"</f>
        <v>Alberghi e stabilimenti di cura: pernottamenti nel mese di gennaio 2024, per regioni turistiche svizzere</v>
      </c>
      <c r="F9" s="90"/>
    </row>
    <row r="10" spans="1:6" x14ac:dyDescent="0.2">
      <c r="A10" s="89"/>
      <c r="B10" s="89"/>
      <c r="C10" s="89"/>
      <c r="D10" s="89"/>
      <c r="E10" s="89"/>
      <c r="F10" s="90"/>
    </row>
    <row r="11" spans="1:6" x14ac:dyDescent="0.2">
      <c r="A11" s="89" t="s">
        <v>69</v>
      </c>
      <c r="B11" s="116" t="s">
        <v>70</v>
      </c>
      <c r="C11" s="116" t="str">
        <f>"Januar "&amp;$C$3</f>
        <v>Januar 2024</v>
      </c>
      <c r="D11" s="116" t="str">
        <f>"Schaner "&amp;$C$3</f>
        <v>Schaner 2024</v>
      </c>
      <c r="E11" s="116" t="str">
        <f>"Gennaio "&amp;$C$3</f>
        <v>Gennaio 2024</v>
      </c>
      <c r="F11" s="90"/>
    </row>
    <row r="12" spans="1:6" x14ac:dyDescent="0.2">
      <c r="A12" s="89"/>
      <c r="B12" s="116" t="s">
        <v>71</v>
      </c>
      <c r="C12" s="116" t="str">
        <f>"Januar "&amp;$C$3-1</f>
        <v>Januar 2023</v>
      </c>
      <c r="D12" s="116" t="str">
        <f>"Schaner "&amp;$C$3-1</f>
        <v>Schaner 2023</v>
      </c>
      <c r="E12" s="116" t="str">
        <f>"Gennaio "&amp;$C$3-1</f>
        <v>Gennaio 2023</v>
      </c>
      <c r="F12" s="90"/>
    </row>
    <row r="13" spans="1:6" x14ac:dyDescent="0.2">
      <c r="A13" s="89"/>
      <c r="B13" s="116" t="s">
        <v>72</v>
      </c>
      <c r="C13" s="116" t="str">
        <f>"Veränderung "&amp;$D$3&amp;"/"&amp;$D$3-1&amp;" in %"</f>
        <v>Veränderung 24/23 in %</v>
      </c>
      <c r="D13" s="116" t="str">
        <f>"Midament "&amp;$D$3&amp;"/"&amp;$D$3-1&amp;" in %"</f>
        <v>Midament 24/23 in %</v>
      </c>
      <c r="E13" s="116" t="str">
        <f>"Variazione "&amp;$D$3&amp;"/"&amp;$D$3-1&amp;" in %"</f>
        <v>Variazione 24/23 in %</v>
      </c>
      <c r="F13" s="90"/>
    </row>
    <row r="14" spans="1:6" ht="38.25" x14ac:dyDescent="0.2">
      <c r="A14" s="89"/>
      <c r="B14" s="116" t="s">
        <v>139</v>
      </c>
      <c r="C14" s="116" t="s">
        <v>54</v>
      </c>
      <c r="D14" s="116" t="s">
        <v>144</v>
      </c>
      <c r="E14" s="117" t="s">
        <v>145</v>
      </c>
      <c r="F14" s="90"/>
    </row>
    <row r="15" spans="1:6" x14ac:dyDescent="0.2">
      <c r="A15" s="89"/>
      <c r="B15" s="116" t="s">
        <v>140</v>
      </c>
      <c r="C15" s="116"/>
      <c r="D15" s="116"/>
      <c r="E15" s="116"/>
      <c r="F15" s="90"/>
    </row>
    <row r="16" spans="1:6" x14ac:dyDescent="0.2">
      <c r="A16" s="89"/>
      <c r="B16" s="116" t="s">
        <v>141</v>
      </c>
      <c r="C16" s="116"/>
      <c r="D16" s="116"/>
      <c r="E16" s="116"/>
      <c r="F16" s="90"/>
    </row>
    <row r="17" spans="1:6" x14ac:dyDescent="0.2">
      <c r="A17" s="89"/>
      <c r="B17" s="116" t="s">
        <v>142</v>
      </c>
      <c r="C17" s="116" t="str">
        <f>"Veränderung "&amp;$D$3&amp;"/"&amp;$D$3-1&amp;" in %"</f>
        <v>Veränderung 24/23 in %</v>
      </c>
      <c r="D17" s="116" t="str">
        <f>"Midament "&amp;$D$3&amp;"/"&amp;$D$3-1&amp;" in %"</f>
        <v>Midament 24/23 in %</v>
      </c>
      <c r="E17" s="116" t="str">
        <f>"Variazione "&amp;$D$3&amp;"/"&amp;$D$3-1&amp;" in %"</f>
        <v>Variazione 24/23 in %</v>
      </c>
      <c r="F17" s="90"/>
    </row>
    <row r="18" spans="1:6" ht="38.25" x14ac:dyDescent="0.2">
      <c r="A18" s="89"/>
      <c r="B18" s="116" t="s">
        <v>143</v>
      </c>
      <c r="C18" s="116" t="s">
        <v>54</v>
      </c>
      <c r="D18" s="116" t="s">
        <v>144</v>
      </c>
      <c r="E18" s="117" t="s">
        <v>145</v>
      </c>
      <c r="F18" s="90"/>
    </row>
    <row r="19" spans="1:6" x14ac:dyDescent="0.2">
      <c r="A19" s="89"/>
      <c r="B19" s="90"/>
      <c r="C19" s="90"/>
      <c r="D19" s="90"/>
      <c r="E19" s="90"/>
      <c r="F19" s="90"/>
    </row>
    <row r="20" spans="1:6" x14ac:dyDescent="0.2">
      <c r="A20" s="89" t="s">
        <v>68</v>
      </c>
      <c r="B20" s="70" t="s">
        <v>73</v>
      </c>
      <c r="C20" s="70" t="s">
        <v>13</v>
      </c>
      <c r="D20" s="70" t="s">
        <v>150</v>
      </c>
      <c r="E20" s="70" t="s">
        <v>173</v>
      </c>
      <c r="F20" s="90"/>
    </row>
    <row r="21" spans="1:6" x14ac:dyDescent="0.2">
      <c r="A21" s="90"/>
      <c r="B21" s="70" t="s">
        <v>74</v>
      </c>
      <c r="C21" s="70" t="s">
        <v>14</v>
      </c>
      <c r="D21" s="70" t="s">
        <v>151</v>
      </c>
      <c r="E21" s="70" t="s">
        <v>151</v>
      </c>
      <c r="F21" s="90"/>
    </row>
    <row r="22" spans="1:6" x14ac:dyDescent="0.2">
      <c r="A22" s="90"/>
      <c r="B22" s="70" t="s">
        <v>75</v>
      </c>
      <c r="C22" s="70" t="s">
        <v>16</v>
      </c>
      <c r="D22" s="70" t="s">
        <v>152</v>
      </c>
      <c r="E22" s="70" t="s">
        <v>152</v>
      </c>
      <c r="F22" s="90"/>
    </row>
    <row r="23" spans="1:6" x14ac:dyDescent="0.2">
      <c r="A23" s="90"/>
      <c r="B23" s="70" t="s">
        <v>76</v>
      </c>
      <c r="C23" s="70" t="s">
        <v>18</v>
      </c>
      <c r="D23" s="70" t="s">
        <v>153</v>
      </c>
      <c r="E23" s="70" t="s">
        <v>174</v>
      </c>
      <c r="F23" s="90"/>
    </row>
    <row r="24" spans="1:6" x14ac:dyDescent="0.2">
      <c r="A24" s="90"/>
      <c r="B24" s="70" t="s">
        <v>77</v>
      </c>
      <c r="C24" s="70" t="s">
        <v>19</v>
      </c>
      <c r="D24" s="70" t="s">
        <v>154</v>
      </c>
      <c r="E24" s="70" t="s">
        <v>154</v>
      </c>
      <c r="F24" s="90"/>
    </row>
    <row r="25" spans="1:6" x14ac:dyDescent="0.2">
      <c r="A25" s="90"/>
      <c r="B25" s="70" t="s">
        <v>78</v>
      </c>
      <c r="C25" s="70" t="s">
        <v>15</v>
      </c>
      <c r="D25" s="70" t="s">
        <v>155</v>
      </c>
      <c r="E25" s="70" t="s">
        <v>175</v>
      </c>
      <c r="F25" s="90"/>
    </row>
    <row r="26" spans="1:6" x14ac:dyDescent="0.2">
      <c r="A26" s="90"/>
      <c r="B26" s="70" t="s">
        <v>79</v>
      </c>
      <c r="C26" s="70" t="s">
        <v>17</v>
      </c>
      <c r="D26" s="70" t="s">
        <v>156</v>
      </c>
      <c r="E26" s="70" t="s">
        <v>176</v>
      </c>
      <c r="F26" s="90"/>
    </row>
    <row r="27" spans="1:6" x14ac:dyDescent="0.2">
      <c r="A27" s="90"/>
      <c r="B27" s="70" t="s">
        <v>80</v>
      </c>
      <c r="C27" s="70" t="s">
        <v>21</v>
      </c>
      <c r="D27" s="70" t="s">
        <v>21</v>
      </c>
      <c r="E27" s="70" t="s">
        <v>177</v>
      </c>
      <c r="F27" s="90"/>
    </row>
    <row r="28" spans="1:6" x14ac:dyDescent="0.2">
      <c r="A28" s="90"/>
      <c r="B28" s="70" t="s">
        <v>81</v>
      </c>
      <c r="C28" s="70" t="s">
        <v>26</v>
      </c>
      <c r="D28" s="70" t="s">
        <v>157</v>
      </c>
      <c r="E28" s="70" t="s">
        <v>178</v>
      </c>
      <c r="F28" s="90"/>
    </row>
    <row r="29" spans="1:6" x14ac:dyDescent="0.2">
      <c r="A29" s="90"/>
      <c r="B29" s="70" t="s">
        <v>82</v>
      </c>
      <c r="C29" s="70" t="s">
        <v>49</v>
      </c>
      <c r="D29" s="70" t="s">
        <v>158</v>
      </c>
      <c r="E29" s="70" t="s">
        <v>179</v>
      </c>
      <c r="F29" s="90"/>
    </row>
    <row r="30" spans="1:6" x14ac:dyDescent="0.2">
      <c r="A30" s="90"/>
      <c r="B30" s="70" t="s">
        <v>83</v>
      </c>
      <c r="C30" s="70" t="s">
        <v>22</v>
      </c>
      <c r="D30" s="70" t="s">
        <v>159</v>
      </c>
      <c r="E30" s="70" t="s">
        <v>180</v>
      </c>
      <c r="F30" s="90"/>
    </row>
    <row r="31" spans="1:6" x14ac:dyDescent="0.2">
      <c r="A31" s="90"/>
      <c r="B31" s="70" t="s">
        <v>84</v>
      </c>
      <c r="C31" s="70" t="s">
        <v>48</v>
      </c>
      <c r="D31" s="70" t="s">
        <v>160</v>
      </c>
      <c r="E31" s="70" t="s">
        <v>181</v>
      </c>
      <c r="F31" s="90"/>
    </row>
    <row r="32" spans="1:6" x14ac:dyDescent="0.2">
      <c r="A32" s="90"/>
      <c r="B32" s="70" t="s">
        <v>85</v>
      </c>
      <c r="C32" s="70" t="s">
        <v>23</v>
      </c>
      <c r="D32" s="70" t="s">
        <v>161</v>
      </c>
      <c r="E32" s="70" t="s">
        <v>161</v>
      </c>
      <c r="F32" s="90"/>
    </row>
    <row r="33" spans="1:6" x14ac:dyDescent="0.2">
      <c r="A33" s="90"/>
      <c r="B33" s="70" t="s">
        <v>86</v>
      </c>
      <c r="C33" s="70" t="s">
        <v>42</v>
      </c>
      <c r="D33" s="70" t="s">
        <v>162</v>
      </c>
      <c r="E33" s="70" t="s">
        <v>162</v>
      </c>
      <c r="F33" s="90"/>
    </row>
    <row r="34" spans="1:6" x14ac:dyDescent="0.2">
      <c r="A34" s="90"/>
      <c r="B34" s="70" t="s">
        <v>87</v>
      </c>
      <c r="C34" s="70" t="s">
        <v>43</v>
      </c>
      <c r="D34" s="70" t="s">
        <v>163</v>
      </c>
      <c r="E34" s="70" t="s">
        <v>163</v>
      </c>
      <c r="F34" s="90"/>
    </row>
    <row r="35" spans="1:6" x14ac:dyDescent="0.2">
      <c r="A35" s="90"/>
      <c r="B35" s="70" t="s">
        <v>88</v>
      </c>
      <c r="C35" s="70" t="s">
        <v>44</v>
      </c>
      <c r="D35" s="70" t="s">
        <v>164</v>
      </c>
      <c r="E35" s="70" t="s">
        <v>182</v>
      </c>
      <c r="F35" s="90"/>
    </row>
    <row r="36" spans="1:6" x14ac:dyDescent="0.2">
      <c r="A36" s="90"/>
      <c r="B36" s="70" t="s">
        <v>89</v>
      </c>
      <c r="C36" s="70" t="s">
        <v>45</v>
      </c>
      <c r="D36" s="70" t="s">
        <v>165</v>
      </c>
      <c r="E36" s="70" t="s">
        <v>183</v>
      </c>
      <c r="F36" s="90"/>
    </row>
    <row r="37" spans="1:6" x14ac:dyDescent="0.2">
      <c r="A37" s="90"/>
      <c r="B37" s="70" t="s">
        <v>90</v>
      </c>
      <c r="C37" s="70" t="s">
        <v>20</v>
      </c>
      <c r="D37" s="70" t="s">
        <v>166</v>
      </c>
      <c r="E37" s="70" t="s">
        <v>184</v>
      </c>
      <c r="F37" s="90"/>
    </row>
    <row r="38" spans="1:6" x14ac:dyDescent="0.2">
      <c r="A38" s="90"/>
      <c r="B38" s="70" t="s">
        <v>91</v>
      </c>
      <c r="C38" s="70" t="s">
        <v>50</v>
      </c>
      <c r="D38" s="70" t="s">
        <v>167</v>
      </c>
      <c r="E38" s="70" t="s">
        <v>185</v>
      </c>
      <c r="F38" s="90"/>
    </row>
    <row r="39" spans="1:6" x14ac:dyDescent="0.2">
      <c r="A39" s="90"/>
      <c r="B39" s="70" t="s">
        <v>92</v>
      </c>
      <c r="C39" s="70" t="s">
        <v>24</v>
      </c>
      <c r="D39" s="70" t="s">
        <v>168</v>
      </c>
      <c r="E39" s="70" t="s">
        <v>168</v>
      </c>
      <c r="F39" s="90"/>
    </row>
    <row r="40" spans="1:6" x14ac:dyDescent="0.2">
      <c r="A40" s="90"/>
      <c r="B40" s="70" t="s">
        <v>93</v>
      </c>
      <c r="C40" s="70" t="s">
        <v>25</v>
      </c>
      <c r="D40" s="70" t="s">
        <v>169</v>
      </c>
      <c r="E40" s="70" t="s">
        <v>186</v>
      </c>
      <c r="F40" s="90"/>
    </row>
    <row r="41" spans="1:6" x14ac:dyDescent="0.2">
      <c r="A41" s="90"/>
      <c r="B41" s="70" t="s">
        <v>94</v>
      </c>
      <c r="C41" s="70" t="s">
        <v>47</v>
      </c>
      <c r="D41" s="70" t="s">
        <v>170</v>
      </c>
      <c r="E41" s="70" t="s">
        <v>187</v>
      </c>
      <c r="F41" s="90"/>
    </row>
    <row r="42" spans="1:6" x14ac:dyDescent="0.2">
      <c r="A42" s="90"/>
      <c r="B42" s="70" t="s">
        <v>95</v>
      </c>
      <c r="C42" s="70" t="s">
        <v>371</v>
      </c>
      <c r="D42" s="70" t="s">
        <v>171</v>
      </c>
      <c r="E42" s="70" t="s">
        <v>188</v>
      </c>
      <c r="F42" s="90"/>
    </row>
    <row r="43" spans="1:6" x14ac:dyDescent="0.2">
      <c r="A43" s="90"/>
      <c r="B43" s="70" t="s">
        <v>96</v>
      </c>
      <c r="C43" s="70" t="s">
        <v>10</v>
      </c>
      <c r="D43" s="70" t="s">
        <v>172</v>
      </c>
      <c r="E43" s="70" t="s">
        <v>189</v>
      </c>
      <c r="F43" s="90"/>
    </row>
    <row r="44" spans="1:6" x14ac:dyDescent="0.2">
      <c r="A44" s="90"/>
      <c r="B44" s="70" t="s">
        <v>97</v>
      </c>
      <c r="C44" s="70" t="s">
        <v>27</v>
      </c>
      <c r="D44" s="70" t="s">
        <v>190</v>
      </c>
      <c r="E44" s="70" t="s">
        <v>190</v>
      </c>
      <c r="F44" s="90"/>
    </row>
    <row r="45" spans="1:6" x14ac:dyDescent="0.2">
      <c r="A45" s="90"/>
      <c r="B45" s="70" t="s">
        <v>98</v>
      </c>
      <c r="C45" s="70" t="s">
        <v>7</v>
      </c>
      <c r="D45" s="70" t="s">
        <v>7</v>
      </c>
      <c r="E45" s="70" t="s">
        <v>7</v>
      </c>
      <c r="F45" s="90"/>
    </row>
    <row r="46" spans="1:6" x14ac:dyDescent="0.2">
      <c r="A46" s="90"/>
      <c r="B46" s="70" t="s">
        <v>99</v>
      </c>
      <c r="C46" s="70" t="s">
        <v>29</v>
      </c>
      <c r="D46" s="70" t="s">
        <v>29</v>
      </c>
      <c r="E46" s="70" t="s">
        <v>29</v>
      </c>
      <c r="F46" s="90"/>
    </row>
    <row r="47" spans="1:6" x14ac:dyDescent="0.2">
      <c r="A47" s="90"/>
      <c r="B47" s="70" t="s">
        <v>109</v>
      </c>
      <c r="C47" s="70" t="s">
        <v>12</v>
      </c>
      <c r="D47" s="70" t="s">
        <v>191</v>
      </c>
      <c r="E47" s="70" t="s">
        <v>191</v>
      </c>
      <c r="F47" s="90"/>
    </row>
    <row r="48" spans="1:6" x14ac:dyDescent="0.2">
      <c r="A48" s="90"/>
      <c r="B48" s="70" t="s">
        <v>110</v>
      </c>
      <c r="C48" s="70" t="s">
        <v>2</v>
      </c>
      <c r="D48" s="70" t="s">
        <v>2</v>
      </c>
      <c r="E48" s="70" t="s">
        <v>2</v>
      </c>
      <c r="F48" s="90"/>
    </row>
    <row r="49" spans="1:6" x14ac:dyDescent="0.2">
      <c r="A49" s="90"/>
      <c r="B49" s="70" t="s">
        <v>111</v>
      </c>
      <c r="C49" s="70" t="s">
        <v>0</v>
      </c>
      <c r="D49" s="70" t="s">
        <v>0</v>
      </c>
      <c r="E49" s="70" t="s">
        <v>0</v>
      </c>
      <c r="F49" s="90"/>
    </row>
    <row r="50" spans="1:6" x14ac:dyDescent="0.2">
      <c r="A50" s="90"/>
      <c r="B50" s="70" t="s">
        <v>112</v>
      </c>
      <c r="C50" s="70" t="s">
        <v>8</v>
      </c>
      <c r="D50" s="70" t="s">
        <v>8</v>
      </c>
      <c r="E50" s="70" t="s">
        <v>8</v>
      </c>
      <c r="F50" s="90"/>
    </row>
    <row r="51" spans="1:6" x14ac:dyDescent="0.2">
      <c r="A51" s="90"/>
      <c r="B51" s="70" t="s">
        <v>113</v>
      </c>
      <c r="C51" s="70" t="s">
        <v>31</v>
      </c>
      <c r="D51" s="70" t="s">
        <v>31</v>
      </c>
      <c r="E51" s="70" t="s">
        <v>31</v>
      </c>
      <c r="F51" s="90"/>
    </row>
    <row r="52" spans="1:6" x14ac:dyDescent="0.2">
      <c r="A52" s="90"/>
      <c r="B52" s="70" t="s">
        <v>114</v>
      </c>
      <c r="C52" s="70" t="s">
        <v>30</v>
      </c>
      <c r="D52" s="70" t="s">
        <v>30</v>
      </c>
      <c r="E52" s="70" t="s">
        <v>30</v>
      </c>
      <c r="F52" s="90"/>
    </row>
    <row r="53" spans="1:6" x14ac:dyDescent="0.2">
      <c r="A53" s="90"/>
      <c r="B53" s="70" t="s">
        <v>115</v>
      </c>
      <c r="C53" s="70" t="s">
        <v>1</v>
      </c>
      <c r="D53" s="70" t="s">
        <v>1</v>
      </c>
      <c r="E53" s="70" t="s">
        <v>1</v>
      </c>
      <c r="F53" s="90"/>
    </row>
    <row r="54" spans="1:6" x14ac:dyDescent="0.2">
      <c r="A54" s="90"/>
      <c r="B54" s="70" t="s">
        <v>116</v>
      </c>
      <c r="C54" s="70" t="s">
        <v>3</v>
      </c>
      <c r="D54" s="70" t="s">
        <v>3</v>
      </c>
      <c r="E54" s="70" t="s">
        <v>3</v>
      </c>
      <c r="F54" s="90"/>
    </row>
    <row r="55" spans="1:6" x14ac:dyDescent="0.2">
      <c r="A55" s="90"/>
      <c r="B55" s="70" t="s">
        <v>117</v>
      </c>
      <c r="C55" s="70" t="s">
        <v>4</v>
      </c>
      <c r="D55" s="70" t="s">
        <v>4</v>
      </c>
      <c r="E55" s="70" t="s">
        <v>4</v>
      </c>
      <c r="F55" s="90"/>
    </row>
    <row r="56" spans="1:6" x14ac:dyDescent="0.2">
      <c r="A56" s="90"/>
      <c r="B56" s="70" t="s">
        <v>118</v>
      </c>
      <c r="C56" s="70" t="s">
        <v>11</v>
      </c>
      <c r="D56" s="70" t="s">
        <v>11</v>
      </c>
      <c r="E56" s="70" t="s">
        <v>11</v>
      </c>
      <c r="F56" s="90"/>
    </row>
    <row r="57" spans="1:6" x14ac:dyDescent="0.2">
      <c r="A57" s="90"/>
      <c r="B57" s="70" t="s">
        <v>119</v>
      </c>
      <c r="C57" s="70" t="s">
        <v>55</v>
      </c>
      <c r="D57" s="70" t="s">
        <v>192</v>
      </c>
      <c r="E57" s="70" t="s">
        <v>192</v>
      </c>
      <c r="F57" s="90"/>
    </row>
    <row r="58" spans="1:6" x14ac:dyDescent="0.2">
      <c r="A58" s="90"/>
      <c r="B58" s="70" t="s">
        <v>120</v>
      </c>
      <c r="C58" s="70" t="s">
        <v>28</v>
      </c>
      <c r="D58" s="70" t="s">
        <v>28</v>
      </c>
      <c r="E58" s="70" t="s">
        <v>28</v>
      </c>
      <c r="F58" s="90"/>
    </row>
    <row r="59" spans="1:6" x14ac:dyDescent="0.2">
      <c r="A59" s="90"/>
      <c r="B59" s="70" t="s">
        <v>121</v>
      </c>
      <c r="C59" s="70" t="s">
        <v>5</v>
      </c>
      <c r="D59" s="70" t="s">
        <v>5</v>
      </c>
      <c r="E59" s="70" t="s">
        <v>5</v>
      </c>
      <c r="F59" s="90"/>
    </row>
    <row r="60" spans="1:6" x14ac:dyDescent="0.2">
      <c r="A60" s="90"/>
      <c r="B60" s="70" t="s">
        <v>122</v>
      </c>
      <c r="C60" s="70" t="s">
        <v>9</v>
      </c>
      <c r="D60" s="70" t="s">
        <v>9</v>
      </c>
      <c r="E60" s="70" t="s">
        <v>9</v>
      </c>
      <c r="F60" s="90"/>
    </row>
    <row r="61" spans="1:6" x14ac:dyDescent="0.2">
      <c r="A61" s="90"/>
      <c r="B61" s="70" t="s">
        <v>123</v>
      </c>
      <c r="C61" s="70" t="s">
        <v>6</v>
      </c>
      <c r="D61" s="70" t="s">
        <v>6</v>
      </c>
      <c r="E61" s="70" t="s">
        <v>6</v>
      </c>
      <c r="F61" s="90"/>
    </row>
    <row r="62" spans="1:6" x14ac:dyDescent="0.2">
      <c r="A62" s="90"/>
      <c r="B62" s="70" t="s">
        <v>124</v>
      </c>
      <c r="C62" s="70" t="s">
        <v>10</v>
      </c>
      <c r="D62" s="70" t="s">
        <v>172</v>
      </c>
      <c r="E62" s="70" t="s">
        <v>189</v>
      </c>
      <c r="F62" s="90"/>
    </row>
    <row r="63" spans="1:6" x14ac:dyDescent="0.2">
      <c r="A63" s="90"/>
      <c r="B63" s="70" t="s">
        <v>125</v>
      </c>
      <c r="C63" s="70" t="s">
        <v>56</v>
      </c>
      <c r="D63" s="70" t="s">
        <v>193</v>
      </c>
      <c r="E63" s="70" t="s">
        <v>194</v>
      </c>
      <c r="F63" s="90"/>
    </row>
    <row r="64" spans="1:6" x14ac:dyDescent="0.2">
      <c r="A64" s="90"/>
      <c r="B64" s="70" t="s">
        <v>126</v>
      </c>
      <c r="C64" s="70" t="s">
        <v>38</v>
      </c>
      <c r="D64" s="70" t="s">
        <v>195</v>
      </c>
      <c r="E64" s="70" t="s">
        <v>196</v>
      </c>
      <c r="F64" s="90"/>
    </row>
    <row r="65" spans="1:6" x14ac:dyDescent="0.2">
      <c r="A65" s="90"/>
      <c r="B65" s="70" t="s">
        <v>127</v>
      </c>
      <c r="C65" s="70" t="s">
        <v>39</v>
      </c>
      <c r="D65" s="70" t="s">
        <v>197</v>
      </c>
      <c r="E65" s="70" t="s">
        <v>198</v>
      </c>
      <c r="F65" s="90"/>
    </row>
    <row r="66" spans="1:6" x14ac:dyDescent="0.2">
      <c r="A66" s="90"/>
      <c r="B66" s="70" t="s">
        <v>128</v>
      </c>
      <c r="C66" s="70" t="s">
        <v>41</v>
      </c>
      <c r="D66" s="70" t="s">
        <v>199</v>
      </c>
      <c r="E66" s="70" t="s">
        <v>200</v>
      </c>
      <c r="F66" s="90"/>
    </row>
    <row r="67" spans="1:6" x14ac:dyDescent="0.2">
      <c r="A67" s="90"/>
      <c r="B67" s="70" t="s">
        <v>129</v>
      </c>
      <c r="C67" s="70" t="s">
        <v>33</v>
      </c>
      <c r="D67" s="70" t="s">
        <v>201</v>
      </c>
      <c r="E67" s="70" t="s">
        <v>202</v>
      </c>
      <c r="F67" s="90"/>
    </row>
    <row r="68" spans="1:6" x14ac:dyDescent="0.2">
      <c r="A68" s="90"/>
      <c r="B68" s="70" t="s">
        <v>130</v>
      </c>
      <c r="C68" s="70" t="s">
        <v>10</v>
      </c>
      <c r="D68" s="70" t="s">
        <v>172</v>
      </c>
      <c r="E68" s="70" t="s">
        <v>189</v>
      </c>
      <c r="F68" s="90"/>
    </row>
    <row r="69" spans="1:6" x14ac:dyDescent="0.2">
      <c r="A69" s="90"/>
      <c r="B69" s="70" t="s">
        <v>131</v>
      </c>
      <c r="C69" s="70" t="s">
        <v>40</v>
      </c>
      <c r="D69" s="70" t="s">
        <v>203</v>
      </c>
      <c r="E69" s="70" t="s">
        <v>204</v>
      </c>
      <c r="F69" s="90"/>
    </row>
    <row r="70" spans="1:6" x14ac:dyDescent="0.2">
      <c r="A70" s="90"/>
      <c r="B70" s="70" t="s">
        <v>132</v>
      </c>
      <c r="C70" s="70" t="s">
        <v>37</v>
      </c>
      <c r="D70" s="70" t="s">
        <v>205</v>
      </c>
      <c r="E70" s="70" t="s">
        <v>206</v>
      </c>
      <c r="F70" s="90"/>
    </row>
    <row r="71" spans="1:6" x14ac:dyDescent="0.2">
      <c r="A71" s="90"/>
      <c r="B71" s="70" t="s">
        <v>133</v>
      </c>
      <c r="C71" s="70" t="s">
        <v>32</v>
      </c>
      <c r="D71" s="70" t="s">
        <v>207</v>
      </c>
      <c r="E71" s="70" t="s">
        <v>208</v>
      </c>
      <c r="F71" s="90"/>
    </row>
    <row r="72" spans="1:6" x14ac:dyDescent="0.2">
      <c r="A72" s="90"/>
      <c r="B72" s="70" t="s">
        <v>134</v>
      </c>
      <c r="C72" s="70" t="s">
        <v>35</v>
      </c>
      <c r="D72" s="70" t="s">
        <v>35</v>
      </c>
      <c r="E72" s="70" t="s">
        <v>209</v>
      </c>
      <c r="F72" s="90"/>
    </row>
    <row r="73" spans="1:6" x14ac:dyDescent="0.2">
      <c r="A73" s="90"/>
      <c r="B73" s="70" t="s">
        <v>135</v>
      </c>
      <c r="C73" s="70" t="s">
        <v>51</v>
      </c>
      <c r="D73" s="70" t="s">
        <v>212</v>
      </c>
      <c r="E73" s="70" t="s">
        <v>213</v>
      </c>
      <c r="F73" s="90"/>
    </row>
    <row r="74" spans="1:6" x14ac:dyDescent="0.2">
      <c r="A74" s="90"/>
      <c r="B74" s="70" t="s">
        <v>136</v>
      </c>
      <c r="C74" s="70" t="s">
        <v>34</v>
      </c>
      <c r="D74" s="70" t="s">
        <v>210</v>
      </c>
      <c r="E74" s="70" t="s">
        <v>211</v>
      </c>
      <c r="F74" s="90"/>
    </row>
    <row r="75" spans="1:6" x14ac:dyDescent="0.2">
      <c r="A75" s="90"/>
      <c r="B75" s="70" t="s">
        <v>137</v>
      </c>
      <c r="C75" s="70" t="s">
        <v>36</v>
      </c>
      <c r="D75" s="70" t="s">
        <v>214</v>
      </c>
      <c r="E75" s="70" t="s">
        <v>215</v>
      </c>
      <c r="F75" s="90"/>
    </row>
    <row r="76" spans="1:6" x14ac:dyDescent="0.2">
      <c r="A76" s="90"/>
      <c r="B76" s="70" t="s">
        <v>138</v>
      </c>
      <c r="C76" s="70" t="s">
        <v>13</v>
      </c>
      <c r="D76" s="70" t="s">
        <v>150</v>
      </c>
      <c r="E76" s="70" t="s">
        <v>173</v>
      </c>
      <c r="F76" s="90"/>
    </row>
    <row r="77" spans="1:6" x14ac:dyDescent="0.2">
      <c r="A77" s="90"/>
      <c r="B77" s="90"/>
      <c r="C77" s="90"/>
      <c r="D77" s="90"/>
      <c r="E77" s="90"/>
      <c r="F77" s="90"/>
    </row>
    <row r="78" spans="1:6" ht="25.5" x14ac:dyDescent="0.2">
      <c r="A78" s="89"/>
      <c r="B78" s="70" t="s">
        <v>100</v>
      </c>
      <c r="C78" s="70" t="s">
        <v>46</v>
      </c>
      <c r="D78" s="70" t="s">
        <v>146</v>
      </c>
      <c r="E78" s="93" t="s">
        <v>149</v>
      </c>
      <c r="F78" s="90"/>
    </row>
    <row r="79" spans="1:6" ht="25.5" x14ac:dyDescent="0.2">
      <c r="A79" s="90"/>
      <c r="B79" s="70" t="s">
        <v>101</v>
      </c>
      <c r="C79" s="70" t="s">
        <v>53</v>
      </c>
      <c r="D79" s="70" t="s">
        <v>147</v>
      </c>
      <c r="E79" s="93" t="s">
        <v>148</v>
      </c>
      <c r="F79" s="90"/>
    </row>
    <row r="80" spans="1:6" ht="25.5" x14ac:dyDescent="0.2">
      <c r="A80" s="90"/>
      <c r="B80" s="88" t="s">
        <v>102</v>
      </c>
      <c r="C80" s="88" t="s">
        <v>372</v>
      </c>
      <c r="D80" s="88" t="s">
        <v>373</v>
      </c>
      <c r="E80" s="88" t="s">
        <v>374</v>
      </c>
      <c r="F80" s="90"/>
    </row>
    <row r="81" spans="1:6" x14ac:dyDescent="0.2">
      <c r="A81" s="90"/>
      <c r="B81" s="90"/>
      <c r="C81" s="90"/>
      <c r="D81" s="90"/>
      <c r="E81" s="90"/>
      <c r="F81" s="90"/>
    </row>
    <row r="82" spans="1:6" x14ac:dyDescent="0.2">
      <c r="A82" s="90" t="s">
        <v>69</v>
      </c>
      <c r="B82" s="70" t="s">
        <v>103</v>
      </c>
      <c r="C82" s="70" t="s">
        <v>105</v>
      </c>
      <c r="D82" s="70" t="s">
        <v>221</v>
      </c>
      <c r="E82" s="70" t="s">
        <v>222</v>
      </c>
      <c r="F82" s="90"/>
    </row>
    <row r="83" spans="1:6" x14ac:dyDescent="0.2">
      <c r="A83" s="90" t="s">
        <v>68</v>
      </c>
      <c r="B83" s="88" t="s">
        <v>104</v>
      </c>
      <c r="C83" s="94" t="s">
        <v>375</v>
      </c>
      <c r="D83" s="94" t="s">
        <v>376</v>
      </c>
      <c r="E83" s="94" t="s">
        <v>377</v>
      </c>
      <c r="F83" s="90"/>
    </row>
    <row r="84" spans="1:6" s="109" customFormat="1" ht="13.5" thickBot="1" x14ac:dyDescent="0.25">
      <c r="A84" s="108"/>
      <c r="B84" s="108"/>
      <c r="C84" s="108"/>
      <c r="D84" s="108"/>
      <c r="E84" s="108"/>
      <c r="F84" s="108"/>
    </row>
    <row r="85" spans="1:6" x14ac:dyDescent="0.2">
      <c r="A85" s="89"/>
      <c r="B85" s="92"/>
      <c r="C85" s="92"/>
      <c r="D85" s="90"/>
      <c r="E85" s="90"/>
      <c r="F85" s="90"/>
    </row>
    <row r="86" spans="1:6" ht="25.5" x14ac:dyDescent="0.2">
      <c r="A86" s="89" t="s">
        <v>223</v>
      </c>
      <c r="B86" s="116" t="s">
        <v>224</v>
      </c>
      <c r="C86" s="116" t="str">
        <f>"Hotel- und Kurbetriebe: Logiernächte im Februar "&amp;$C$3&amp;", nach Herkunft"</f>
        <v>Hotel- und Kurbetriebe: Logiernächte im Februar 2024, nach Herkunft</v>
      </c>
      <c r="D86" s="116" t="str">
        <f>"Manaschis d' hotel e da cura: pernottaziuns il fevrer "&amp;$C$3&amp;", tenor la derivanza"</f>
        <v>Manaschis d' hotel e da cura: pernottaziuns il fevrer 2024, tenor la derivanza</v>
      </c>
      <c r="E86" s="116" t="str">
        <f>"Alberghi e stabilimenti di cura: pernottamenti nel mese di febbraio "&amp;$C$3&amp;", per provenienza"</f>
        <v>Alberghi e stabilimenti di cura: pernottamenti nel mese di febbraio 2024, per provenienza</v>
      </c>
      <c r="F86" s="90"/>
    </row>
    <row r="87" spans="1:6" ht="25.5" x14ac:dyDescent="0.2">
      <c r="A87" s="89"/>
      <c r="B87" s="116" t="s">
        <v>233</v>
      </c>
      <c r="C87" s="116" t="str">
        <f>"Hotel- und Kurbetriebe: Logiernächte im Februar "&amp;$C$3&amp;", nach Destinationen"</f>
        <v>Hotel- und Kurbetriebe: Logiernächte im Februar 2024, nach Destinationen</v>
      </c>
      <c r="D87" s="116" t="str">
        <f>"Manaschis d' hotel e da cura: pernottaziuns il fevrer "&amp;$C$3&amp;", tenor destinaziuns"</f>
        <v>Manaschis d' hotel e da cura: pernottaziuns il fevrer 2024, tenor destinaziuns</v>
      </c>
      <c r="E87" s="116" t="str">
        <f>"Alberghi e stabilimenti di cura: pernottamenti nel mese di febbraio "&amp;$C$3&amp;", per destinazione"</f>
        <v>Alberghi e stabilimenti di cura: pernottamenti nel mese di febbraio 2024, per destinazione</v>
      </c>
      <c r="F87" s="90"/>
    </row>
    <row r="88" spans="1:6" ht="38.25" x14ac:dyDescent="0.2">
      <c r="A88" s="89"/>
      <c r="B88" s="116" t="s">
        <v>234</v>
      </c>
      <c r="C88" s="116" t="str">
        <f>"Hotel- und Kurbetriebe: Logiernächte im Februar "&amp;$C$3&amp;", nach Schweizer Tourismusregionen"</f>
        <v>Hotel- und Kurbetriebe: Logiernächte im Februar 2024, nach Schweizer Tourismusregionen</v>
      </c>
      <c r="D88" s="116" t="str">
        <f>"Manaschis d' hotel e da cura: pernottaziuns il fevrer "&amp;$C$3&amp;", tenor regiuns turisticas svizras"</f>
        <v>Manaschis d' hotel e da cura: pernottaziuns il fevrer 2024, tenor regiuns turisticas svizras</v>
      </c>
      <c r="E88" s="116" t="str">
        <f>"Alberghi e stabilimenti di cura: pernottamenti nel mese di febbraio "&amp;$C$3&amp;", per regioni turistiche svizzere"</f>
        <v>Alberghi e stabilimenti di cura: pernottamenti nel mese di febbraio 2024, per regioni turistiche svizzere</v>
      </c>
      <c r="F88" s="90"/>
    </row>
    <row r="89" spans="1:6" x14ac:dyDescent="0.2">
      <c r="A89" s="89"/>
      <c r="B89" s="89"/>
      <c r="C89" s="89"/>
      <c r="D89" s="89"/>
      <c r="E89" s="89"/>
      <c r="F89" s="90"/>
    </row>
    <row r="90" spans="1:6" x14ac:dyDescent="0.2">
      <c r="A90" s="89"/>
      <c r="B90" s="116" t="s">
        <v>235</v>
      </c>
      <c r="C90" s="116" t="str">
        <f>"Februar "&amp;$C$3</f>
        <v>Februar 2024</v>
      </c>
      <c r="D90" s="116" t="str">
        <f>"Fevrer "&amp;$C$3</f>
        <v>Fevrer 2024</v>
      </c>
      <c r="E90" s="116" t="str">
        <f>"Febbraio "&amp;$C$3</f>
        <v>Febbraio 2024</v>
      </c>
      <c r="F90" s="90"/>
    </row>
    <row r="91" spans="1:6" x14ac:dyDescent="0.2">
      <c r="A91" s="89"/>
      <c r="B91" s="116" t="s">
        <v>236</v>
      </c>
      <c r="C91" s="116" t="str">
        <f>"Februar "&amp;$C$3-1</f>
        <v>Februar 2023</v>
      </c>
      <c r="D91" s="116" t="str">
        <f>"Fevrer "&amp;$C$3-1</f>
        <v>Fevrer 2023</v>
      </c>
      <c r="E91" s="116" t="str">
        <f>"Febbraio "&amp;$C$3-1</f>
        <v>Febbraio 2023</v>
      </c>
      <c r="F91" s="90"/>
    </row>
    <row r="92" spans="1:6" x14ac:dyDescent="0.2">
      <c r="A92" s="89"/>
      <c r="B92" s="116" t="s">
        <v>237</v>
      </c>
      <c r="C92" s="116" t="str">
        <f>"Januar-Februar "&amp;$D$3</f>
        <v>Januar-Februar 24</v>
      </c>
      <c r="D92" s="116" t="str">
        <f>"Schaner-fevrer "&amp;$D$3</f>
        <v>Schaner-fevrer 24</v>
      </c>
      <c r="E92" s="116" t="str">
        <f>"Gennaio-febbraio "&amp;$D$3</f>
        <v>Gennaio-febbraio 24</v>
      </c>
      <c r="F92" s="90"/>
    </row>
    <row r="93" spans="1:6" x14ac:dyDescent="0.2">
      <c r="A93" s="89"/>
      <c r="B93" s="116" t="s">
        <v>238</v>
      </c>
      <c r="C93" s="116" t="str">
        <f>"Januar-Februar "&amp;$D$3-1</f>
        <v>Januar-Februar 23</v>
      </c>
      <c r="D93" s="116" t="str">
        <f>"Schaner-fevrer "&amp;$D$3-1</f>
        <v>Schaner-fevrer 23</v>
      </c>
      <c r="E93" s="116" t="str">
        <f>"Gennaio-febbraio "&amp;$D$3-1</f>
        <v>Gennaio-febbraio 23</v>
      </c>
      <c r="F93" s="90"/>
    </row>
    <row r="94" spans="1:6" x14ac:dyDescent="0.2">
      <c r="A94" s="89"/>
      <c r="B94" s="90"/>
      <c r="C94" s="90"/>
      <c r="D94" s="90"/>
      <c r="E94" s="90"/>
      <c r="F94" s="90"/>
    </row>
    <row r="95" spans="1:6" ht="25.5" x14ac:dyDescent="0.2">
      <c r="A95" s="90"/>
      <c r="B95" s="88" t="s">
        <v>239</v>
      </c>
      <c r="C95" s="88" t="s">
        <v>378</v>
      </c>
      <c r="D95" s="88" t="s">
        <v>379</v>
      </c>
      <c r="E95" s="88" t="s">
        <v>380</v>
      </c>
      <c r="F95" s="90"/>
    </row>
    <row r="96" spans="1:6" x14ac:dyDescent="0.2">
      <c r="A96" s="90"/>
      <c r="B96" s="90"/>
      <c r="C96" s="90"/>
      <c r="D96" s="90"/>
      <c r="E96" s="90"/>
      <c r="F96" s="90"/>
    </row>
    <row r="97" spans="1:6" x14ac:dyDescent="0.2">
      <c r="A97" s="90"/>
      <c r="B97" s="88" t="s">
        <v>240</v>
      </c>
      <c r="C97" s="94" t="s">
        <v>381</v>
      </c>
      <c r="D97" s="94" t="s">
        <v>382</v>
      </c>
      <c r="E97" s="94" t="s">
        <v>383</v>
      </c>
      <c r="F97" s="90"/>
    </row>
    <row r="98" spans="1:6" s="109" customFormat="1" ht="13.5" thickBot="1" x14ac:dyDescent="0.25">
      <c r="A98" s="108"/>
      <c r="B98" s="108"/>
      <c r="C98" s="108"/>
      <c r="D98" s="108"/>
      <c r="E98" s="108"/>
      <c r="F98" s="108"/>
    </row>
    <row r="99" spans="1:6" x14ac:dyDescent="0.2">
      <c r="A99" s="89"/>
      <c r="B99" s="92"/>
      <c r="C99" s="92"/>
      <c r="D99" s="90"/>
      <c r="E99" s="90"/>
      <c r="F99" s="90"/>
    </row>
    <row r="100" spans="1:6" ht="25.5" x14ac:dyDescent="0.2">
      <c r="A100" s="89" t="s">
        <v>242</v>
      </c>
      <c r="B100" s="116" t="s">
        <v>241</v>
      </c>
      <c r="C100" s="116" t="str">
        <f>"Hotel- und Kurbetriebe: Logiernächte im März "&amp;$C$3&amp;", nach Herkunft"</f>
        <v>Hotel- und Kurbetriebe: Logiernächte im März 2024, nach Herkunft</v>
      </c>
      <c r="D100" s="116" t="str">
        <f>"Manaschis d' hotel e da cura: pernottaziuns il mars "&amp;$C$3&amp;", tenor la derivanza"</f>
        <v>Manaschis d' hotel e da cura: pernottaziuns il mars 2024, tenor la derivanza</v>
      </c>
      <c r="E100" s="116" t="str">
        <f>"Alberghi e stabilimenti di cura: pernottamenti nel mese di marzo "&amp;$C$3&amp;", per provenienza"</f>
        <v>Alberghi e stabilimenti di cura: pernottamenti nel mese di marzo 2024, per provenienza</v>
      </c>
      <c r="F100" s="90"/>
    </row>
    <row r="101" spans="1:6" ht="25.5" x14ac:dyDescent="0.2">
      <c r="A101" s="89"/>
      <c r="B101" s="116" t="s">
        <v>225</v>
      </c>
      <c r="C101" s="116" t="str">
        <f>"Hotel- und Kurbetriebe: Logiernächte im März "&amp;$C$3&amp;", nach Destinationen"</f>
        <v>Hotel- und Kurbetriebe: Logiernächte im März 2024, nach Destinationen</v>
      </c>
      <c r="D101" s="116" t="str">
        <f>"Manaschis d' hotel e da cura: pernottaziuns il mars "&amp;$C$3&amp;", tenor destinaziuns"</f>
        <v>Manaschis d' hotel e da cura: pernottaziuns il mars 2024, tenor destinaziuns</v>
      </c>
      <c r="E101" s="116" t="str">
        <f>"Alberghi e stabilimenti di cura: pernottamenti nel mese di marzo "&amp;$C$3&amp;", per destinazione"</f>
        <v>Alberghi e stabilimenti di cura: pernottamenti nel mese di marzo 2024, per destinazione</v>
      </c>
      <c r="F101" s="90"/>
    </row>
    <row r="102" spans="1:6" ht="38.25" x14ac:dyDescent="0.2">
      <c r="A102" s="89"/>
      <c r="B102" s="116" t="s">
        <v>226</v>
      </c>
      <c r="C102" s="116" t="str">
        <f>"Hotel- und Kurbetriebe: Logiernächte im März "&amp;$C$3&amp;", nach Schweizer Tourismusregionen"</f>
        <v>Hotel- und Kurbetriebe: Logiernächte im März 2024, nach Schweizer Tourismusregionen</v>
      </c>
      <c r="D102" s="116" t="str">
        <f>"Manaschis d' hotel e da cura: pernottaziuns il mars "&amp;$C$3&amp;", tenor regiuns turisticas svizras"</f>
        <v>Manaschis d' hotel e da cura: pernottaziuns il mars 2024, tenor regiuns turisticas svizras</v>
      </c>
      <c r="E102" s="116" t="str">
        <f>"Alberghi e stabilimenti di cura: pernottamenti nel mese di marzo "&amp;$C$3&amp;", per regioni turistiche svizzere"</f>
        <v>Alberghi e stabilimenti di cura: pernottamenti nel mese di marzo 2024, per regioni turistiche svizzere</v>
      </c>
      <c r="F102" s="90"/>
    </row>
    <row r="103" spans="1:6" x14ac:dyDescent="0.2">
      <c r="A103" s="89"/>
      <c r="B103" s="89"/>
      <c r="C103" s="89"/>
      <c r="D103" s="89"/>
      <c r="E103" s="89"/>
      <c r="F103" s="90"/>
    </row>
    <row r="104" spans="1:6" x14ac:dyDescent="0.2">
      <c r="A104" s="89"/>
      <c r="B104" s="116" t="s">
        <v>227</v>
      </c>
      <c r="C104" s="116" t="str">
        <f>"März "&amp;$C$3</f>
        <v>März 2024</v>
      </c>
      <c r="D104" s="116" t="str">
        <f>"Mars "&amp;$C$3</f>
        <v>Mars 2024</v>
      </c>
      <c r="E104" s="116" t="str">
        <f>"Marzo "&amp;$C$3</f>
        <v>Marzo 2024</v>
      </c>
      <c r="F104" s="90"/>
    </row>
    <row r="105" spans="1:6" x14ac:dyDescent="0.2">
      <c r="A105" s="89"/>
      <c r="B105" s="116" t="s">
        <v>228</v>
      </c>
      <c r="C105" s="116" t="str">
        <f>"März "&amp;$C$3-1</f>
        <v>März 2023</v>
      </c>
      <c r="D105" s="116" t="str">
        <f>"Mars "&amp;$C$3-1</f>
        <v>Mars 2023</v>
      </c>
      <c r="E105" s="116" t="str">
        <f>"Marzo "&amp;$C$3-1</f>
        <v>Marzo 2023</v>
      </c>
      <c r="F105" s="90"/>
    </row>
    <row r="106" spans="1:6" x14ac:dyDescent="0.2">
      <c r="A106" s="89"/>
      <c r="B106" s="116" t="s">
        <v>229</v>
      </c>
      <c r="C106" s="116" t="str">
        <f>"Januar-März "&amp;$D$3</f>
        <v>Januar-März 24</v>
      </c>
      <c r="D106" s="116" t="str">
        <f>"Schaner-mars "&amp;$D$3</f>
        <v>Schaner-mars 24</v>
      </c>
      <c r="E106" s="116" t="str">
        <f>"Gennaio-marzo "&amp;$D$3</f>
        <v>Gennaio-marzo 24</v>
      </c>
      <c r="F106" s="90"/>
    </row>
    <row r="107" spans="1:6" x14ac:dyDescent="0.2">
      <c r="A107" s="89"/>
      <c r="B107" s="116" t="s">
        <v>230</v>
      </c>
      <c r="C107" s="116" t="str">
        <f>"Januar-März "&amp;$D$3-1</f>
        <v>Januar-März 23</v>
      </c>
      <c r="D107" s="116" t="str">
        <f>"Schaner-mars "&amp;$D$3-1</f>
        <v>Schaner-mars 23</v>
      </c>
      <c r="E107" s="116" t="str">
        <f>"Gennaio-marzo "&amp;$D$3-1</f>
        <v>Gennaio-marzo 23</v>
      </c>
      <c r="F107" s="90"/>
    </row>
    <row r="108" spans="1:6" x14ac:dyDescent="0.2">
      <c r="A108" s="89"/>
      <c r="B108" s="90"/>
      <c r="C108" s="90"/>
      <c r="D108" s="90"/>
      <c r="E108" s="90"/>
      <c r="F108" s="90"/>
    </row>
    <row r="109" spans="1:6" ht="25.5" x14ac:dyDescent="0.2">
      <c r="A109" s="90"/>
      <c r="B109" s="88" t="s">
        <v>231</v>
      </c>
      <c r="C109" s="88" t="s">
        <v>333</v>
      </c>
      <c r="D109" s="88" t="s">
        <v>339</v>
      </c>
      <c r="E109" s="88" t="s">
        <v>340</v>
      </c>
      <c r="F109" s="90"/>
    </row>
    <row r="110" spans="1:6" x14ac:dyDescent="0.2">
      <c r="A110" s="90"/>
      <c r="B110" s="90"/>
      <c r="C110" s="90"/>
      <c r="D110" s="90"/>
      <c r="E110" s="90"/>
      <c r="F110" s="90"/>
    </row>
    <row r="111" spans="1:6" x14ac:dyDescent="0.2">
      <c r="A111" s="90"/>
      <c r="B111" s="88" t="s">
        <v>232</v>
      </c>
      <c r="C111" s="94" t="s">
        <v>218</v>
      </c>
      <c r="D111" s="94" t="s">
        <v>219</v>
      </c>
      <c r="E111" s="94" t="s">
        <v>220</v>
      </c>
      <c r="F111" s="90"/>
    </row>
    <row r="112" spans="1:6" s="109" customFormat="1" ht="13.5" thickBot="1" x14ac:dyDescent="0.25">
      <c r="A112" s="108"/>
      <c r="B112" s="108"/>
      <c r="C112" s="108"/>
      <c r="D112" s="108"/>
      <c r="E112" s="108"/>
      <c r="F112" s="108"/>
    </row>
    <row r="113" spans="1:6" x14ac:dyDescent="0.2">
      <c r="A113" s="89"/>
      <c r="B113" s="92"/>
      <c r="C113" s="92"/>
      <c r="D113" s="90"/>
      <c r="E113" s="90"/>
      <c r="F113" s="90"/>
    </row>
    <row r="114" spans="1:6" ht="25.5" x14ac:dyDescent="0.2">
      <c r="A114" s="89" t="s">
        <v>243</v>
      </c>
      <c r="B114" s="116" t="s">
        <v>244</v>
      </c>
      <c r="C114" s="116" t="str">
        <f>"Hotel- und Kurbetriebe: Logiernächte im April "&amp;$C$3&amp;", nach Herkunft"</f>
        <v>Hotel- und Kurbetriebe: Logiernächte im April 2024, nach Herkunft</v>
      </c>
      <c r="D114" s="116" t="str">
        <f>"Manaschis d' hotel e da cura: pernottaziuns il avrigl "&amp;$C$3&amp;", tenor la derivanza"</f>
        <v>Manaschis d' hotel e da cura: pernottaziuns il avrigl 2024, tenor la derivanza</v>
      </c>
      <c r="E114" s="116" t="str">
        <f>"Alberghi e stabilimenti di cura: pernottamenti nel mese di aprile "&amp;$C$3&amp;", per provenienza"</f>
        <v>Alberghi e stabilimenti di cura: pernottamenti nel mese di aprile 2024, per provenienza</v>
      </c>
      <c r="F114" s="90"/>
    </row>
    <row r="115" spans="1:6" ht="25.5" x14ac:dyDescent="0.2">
      <c r="A115" s="89"/>
      <c r="B115" s="116" t="s">
        <v>245</v>
      </c>
      <c r="C115" s="116" t="str">
        <f>"Hotel- und Kurbetriebe: Logiernächte im April "&amp;$C$3&amp;", nach Destinationen"</f>
        <v>Hotel- und Kurbetriebe: Logiernächte im April 2024, nach Destinationen</v>
      </c>
      <c r="D115" s="116" t="str">
        <f>"Manaschis d' hotel e da cura: pernottaziuns il avrigl "&amp;$C$3&amp;", tenor destinaziuns"</f>
        <v>Manaschis d' hotel e da cura: pernottaziuns il avrigl 2024, tenor destinaziuns</v>
      </c>
      <c r="E115" s="116" t="str">
        <f>"Alberghi e stabilimenti di cura: pernottamenti nel mese di aprile "&amp;$C$3&amp;", per destinazione"</f>
        <v>Alberghi e stabilimenti di cura: pernottamenti nel mese di aprile 2024, per destinazione</v>
      </c>
      <c r="F115" s="90"/>
    </row>
    <row r="116" spans="1:6" ht="38.25" x14ac:dyDescent="0.2">
      <c r="A116" s="89"/>
      <c r="B116" s="116" t="s">
        <v>246</v>
      </c>
      <c r="C116" s="116" t="str">
        <f>"Hotel- und Kurbetriebe: Logiernächte im April "&amp;$C$3&amp;", nach Schweizer Tourismusregionen"</f>
        <v>Hotel- und Kurbetriebe: Logiernächte im April 2024, nach Schweizer Tourismusregionen</v>
      </c>
      <c r="D116" s="116" t="str">
        <f>"Manaschis d' hotel e da cura: pernottaziuns il avrigl "&amp;$C$3&amp;", tenor regiuns turisticas svizras"</f>
        <v>Manaschis d' hotel e da cura: pernottaziuns il avrigl 2024, tenor regiuns turisticas svizras</v>
      </c>
      <c r="E116" s="116" t="str">
        <f>"Alberghi e stabilimenti di cura: pernottamenti nel mese di aprile "&amp;$C$3&amp;", per regioni turistiche svizzere"</f>
        <v>Alberghi e stabilimenti di cura: pernottamenti nel mese di aprile 2024, per regioni turistiche svizzere</v>
      </c>
      <c r="F116" s="90"/>
    </row>
    <row r="117" spans="1:6" x14ac:dyDescent="0.2">
      <c r="A117" s="89"/>
      <c r="B117" s="89"/>
      <c r="C117" s="89"/>
      <c r="D117" s="89"/>
      <c r="E117" s="89"/>
      <c r="F117" s="90"/>
    </row>
    <row r="118" spans="1:6" x14ac:dyDescent="0.2">
      <c r="A118" s="89"/>
      <c r="B118" s="116" t="s">
        <v>247</v>
      </c>
      <c r="C118" s="116" t="str">
        <f>"April "&amp;$C$3</f>
        <v>April 2024</v>
      </c>
      <c r="D118" s="116" t="str">
        <f>"Avrigl "&amp;$C$3</f>
        <v>Avrigl 2024</v>
      </c>
      <c r="E118" s="116" t="str">
        <f>"Aprile "&amp;$C$3</f>
        <v>Aprile 2024</v>
      </c>
      <c r="F118" s="90"/>
    </row>
    <row r="119" spans="1:6" x14ac:dyDescent="0.2">
      <c r="A119" s="89"/>
      <c r="B119" s="116" t="s">
        <v>248</v>
      </c>
      <c r="C119" s="116" t="str">
        <f>"April "&amp;$C$3-1</f>
        <v>April 2023</v>
      </c>
      <c r="D119" s="116" t="str">
        <f>"Avrigl "&amp;$C$3-1</f>
        <v>Avrigl 2023</v>
      </c>
      <c r="E119" s="116" t="str">
        <f>"Aprile "&amp;$C$3-1</f>
        <v>Aprile 2023</v>
      </c>
      <c r="F119" s="90"/>
    </row>
    <row r="120" spans="1:6" x14ac:dyDescent="0.2">
      <c r="A120" s="89"/>
      <c r="B120" s="116" t="s">
        <v>251</v>
      </c>
      <c r="C120" s="116" t="str">
        <f>"Januar-April "&amp;$D$3</f>
        <v>Januar-April 24</v>
      </c>
      <c r="D120" s="116" t="str">
        <f>"Schaner-avrigl "&amp;$D$3</f>
        <v>Schaner-avrigl 24</v>
      </c>
      <c r="E120" s="116" t="str">
        <f>"Gennaio-aprile "&amp;$D$3</f>
        <v>Gennaio-aprile 24</v>
      </c>
      <c r="F120" s="90"/>
    </row>
    <row r="121" spans="1:6" x14ac:dyDescent="0.2">
      <c r="A121" s="89"/>
      <c r="B121" s="116" t="s">
        <v>250</v>
      </c>
      <c r="C121" s="116" t="str">
        <f>"Januar-April "&amp;$D$3-1</f>
        <v>Januar-April 23</v>
      </c>
      <c r="D121" s="116" t="str">
        <f>"Schaner-avrigl "&amp;$D$3-1</f>
        <v>Schaner-avrigl 23</v>
      </c>
      <c r="E121" s="116" t="str">
        <f>"Gennaio-aprile "&amp;$D$3-1</f>
        <v>Gennaio-aprile 23</v>
      </c>
      <c r="F121" s="90"/>
    </row>
    <row r="122" spans="1:6" x14ac:dyDescent="0.2">
      <c r="A122" s="89"/>
      <c r="B122" s="90"/>
      <c r="C122" s="90"/>
      <c r="D122" s="90"/>
      <c r="E122" s="90"/>
      <c r="F122" s="90"/>
    </row>
    <row r="123" spans="1:6" ht="25.5" x14ac:dyDescent="0.2">
      <c r="A123" s="90"/>
      <c r="B123" s="88" t="s">
        <v>252</v>
      </c>
      <c r="C123" s="88" t="s">
        <v>334</v>
      </c>
      <c r="D123" s="88" t="s">
        <v>335</v>
      </c>
      <c r="E123" s="88" t="s">
        <v>336</v>
      </c>
      <c r="F123" s="90"/>
    </row>
    <row r="124" spans="1:6" x14ac:dyDescent="0.2">
      <c r="A124" s="90"/>
      <c r="B124" s="90"/>
      <c r="C124" s="90"/>
      <c r="D124" s="90"/>
      <c r="E124" s="90"/>
      <c r="F124" s="90"/>
    </row>
    <row r="125" spans="1:6" x14ac:dyDescent="0.2">
      <c r="A125" s="90"/>
      <c r="B125" s="88" t="s">
        <v>253</v>
      </c>
      <c r="C125" s="94" t="s">
        <v>218</v>
      </c>
      <c r="D125" s="94" t="s">
        <v>219</v>
      </c>
      <c r="E125" s="94" t="s">
        <v>220</v>
      </c>
      <c r="F125" s="90"/>
    </row>
    <row r="126" spans="1:6" s="109" customFormat="1" ht="13.5" thickBot="1" x14ac:dyDescent="0.25">
      <c r="A126" s="108"/>
      <c r="B126" s="108"/>
      <c r="C126" s="108"/>
      <c r="D126" s="108"/>
      <c r="E126" s="108"/>
      <c r="F126" s="108"/>
    </row>
    <row r="127" spans="1:6" x14ac:dyDescent="0.2">
      <c r="A127" s="89"/>
      <c r="B127" s="92"/>
      <c r="C127" s="92"/>
      <c r="D127" s="90"/>
      <c r="E127" s="90"/>
      <c r="F127" s="90"/>
    </row>
    <row r="128" spans="1:6" ht="25.5" x14ac:dyDescent="0.2">
      <c r="A128" s="89" t="s">
        <v>254</v>
      </c>
      <c r="B128" s="116" t="s">
        <v>255</v>
      </c>
      <c r="C128" s="116" t="str">
        <f>"Hotel- und Kurbetriebe: Logiernächte im Mai "&amp;$C$3&amp;", nach Herkunft"</f>
        <v>Hotel- und Kurbetriebe: Logiernächte im Mai 2024, nach Herkunft</v>
      </c>
      <c r="D128" s="116" t="str">
        <f>"Manaschis d' hotel e da cura: pernottaziuns il matg "&amp;$C$3&amp;", tenor la derivanza"</f>
        <v>Manaschis d' hotel e da cura: pernottaziuns il matg 2024, tenor la derivanza</v>
      </c>
      <c r="E128" s="116" t="str">
        <f>"Alberghi e stabilimenti di cura: pernottamenti nel mese di maggio "&amp;$C$3&amp;", per provenienza"</f>
        <v>Alberghi e stabilimenti di cura: pernottamenti nel mese di maggio 2024, per provenienza</v>
      </c>
      <c r="F128" s="90"/>
    </row>
    <row r="129" spans="1:6" ht="25.5" x14ac:dyDescent="0.2">
      <c r="A129" s="89"/>
      <c r="B129" s="116" t="s">
        <v>256</v>
      </c>
      <c r="C129" s="116" t="str">
        <f>"Hotel- und Kurbetriebe: Logiernächte im Mai "&amp;$C$3&amp;", nach Destinationen"</f>
        <v>Hotel- und Kurbetriebe: Logiernächte im Mai 2024, nach Destinationen</v>
      </c>
      <c r="D129" s="116" t="str">
        <f>"Manaschis d' hotel e da cura: pernottaziuns il matg "&amp;$C$3&amp;", tenor destinaziuns"</f>
        <v>Manaschis d' hotel e da cura: pernottaziuns il matg 2024, tenor destinaziuns</v>
      </c>
      <c r="E129" s="116" t="str">
        <f>"Alberghi e stabilimenti di cura: pernottamenti nel mese di maggio "&amp;$C$3&amp;", per destinazione"</f>
        <v>Alberghi e stabilimenti di cura: pernottamenti nel mese di maggio 2024, per destinazione</v>
      </c>
      <c r="F129" s="90"/>
    </row>
    <row r="130" spans="1:6" ht="38.25" x14ac:dyDescent="0.2">
      <c r="A130" s="89"/>
      <c r="B130" s="116" t="s">
        <v>257</v>
      </c>
      <c r="C130" s="116" t="str">
        <f>"Hotel- und Kurbetriebe: Logiernächte im Mai "&amp;$C$3&amp;", nach Schweizer Tourismusregionen"</f>
        <v>Hotel- und Kurbetriebe: Logiernächte im Mai 2024, nach Schweizer Tourismusregionen</v>
      </c>
      <c r="D130" s="116" t="str">
        <f>"Manaschis d' hotel e da cura: pernottaziuns il matg "&amp;$C$3&amp;", tenor regiuns turisticas svizras"</f>
        <v>Manaschis d' hotel e da cura: pernottaziuns il matg 2024, tenor regiuns turisticas svizras</v>
      </c>
      <c r="E130" s="116" t="str">
        <f>"Alberghi e stabilimenti di cura: pernottamenti nel mese di maggio "&amp;$C$3&amp;", per regioni turistiche svizzere"</f>
        <v>Alberghi e stabilimenti di cura: pernottamenti nel mese di maggio 2024, per regioni turistiche svizzere</v>
      </c>
      <c r="F130" s="90"/>
    </row>
    <row r="131" spans="1:6" x14ac:dyDescent="0.2">
      <c r="A131" s="89"/>
      <c r="B131" s="89"/>
      <c r="C131" s="89"/>
      <c r="D131" s="89"/>
      <c r="E131" s="89"/>
      <c r="F131" s="90"/>
    </row>
    <row r="132" spans="1:6" x14ac:dyDescent="0.2">
      <c r="A132" s="89"/>
      <c r="B132" s="116" t="s">
        <v>258</v>
      </c>
      <c r="C132" s="116" t="str">
        <f>"Mai "&amp;$C$3</f>
        <v>Mai 2024</v>
      </c>
      <c r="D132" s="116" t="str">
        <f>"Matg "&amp;$C$3</f>
        <v>Matg 2024</v>
      </c>
      <c r="E132" s="116" t="str">
        <f>"Maggio "&amp;$C$3</f>
        <v>Maggio 2024</v>
      </c>
      <c r="F132" s="90"/>
    </row>
    <row r="133" spans="1:6" x14ac:dyDescent="0.2">
      <c r="A133" s="89"/>
      <c r="B133" s="116" t="s">
        <v>259</v>
      </c>
      <c r="C133" s="116" t="str">
        <f>"Mai "&amp;$C$3-1</f>
        <v>Mai 2023</v>
      </c>
      <c r="D133" s="116" t="str">
        <f>"Matg "&amp;$C$3-1</f>
        <v>Matg 2023</v>
      </c>
      <c r="E133" s="116" t="str">
        <f>"Maggio "&amp;$C$3-1</f>
        <v>Maggio 2023</v>
      </c>
      <c r="F133" s="90"/>
    </row>
    <row r="134" spans="1:6" x14ac:dyDescent="0.2">
      <c r="A134" s="89"/>
      <c r="B134" s="116" t="s">
        <v>249</v>
      </c>
      <c r="C134" s="116" t="str">
        <f>"Januar-Mai "&amp;$D$3</f>
        <v>Januar-Mai 24</v>
      </c>
      <c r="D134" s="116" t="str">
        <f>"Schaner-matg "&amp;$D$3</f>
        <v>Schaner-matg 24</v>
      </c>
      <c r="E134" s="116" t="str">
        <f>"Gennaio-maggio "&amp;$D$3</f>
        <v>Gennaio-maggio 24</v>
      </c>
      <c r="F134" s="90"/>
    </row>
    <row r="135" spans="1:6" x14ac:dyDescent="0.2">
      <c r="A135" s="89"/>
      <c r="B135" s="116" t="s">
        <v>260</v>
      </c>
      <c r="C135" s="116" t="str">
        <f>"Januar-Mai "&amp;$D$3-1</f>
        <v>Januar-Mai 23</v>
      </c>
      <c r="D135" s="116" t="str">
        <f>"Schaner-matg "&amp;$D$3-1</f>
        <v>Schaner-matg 23</v>
      </c>
      <c r="E135" s="116" t="str">
        <f>"Gennaio-maggio "&amp;$D$3-1</f>
        <v>Gennaio-maggio 23</v>
      </c>
      <c r="F135" s="90"/>
    </row>
    <row r="136" spans="1:6" x14ac:dyDescent="0.2">
      <c r="A136" s="89"/>
      <c r="B136" s="90"/>
      <c r="C136" s="90"/>
      <c r="D136" s="90"/>
      <c r="E136" s="90"/>
      <c r="F136" s="90"/>
    </row>
    <row r="137" spans="1:6" ht="25.5" x14ac:dyDescent="0.2">
      <c r="A137" s="90"/>
      <c r="B137" s="88" t="s">
        <v>261</v>
      </c>
      <c r="C137" s="88" t="s">
        <v>337</v>
      </c>
      <c r="D137" s="88" t="s">
        <v>341</v>
      </c>
      <c r="E137" s="88" t="s">
        <v>338</v>
      </c>
      <c r="F137" s="90"/>
    </row>
    <row r="138" spans="1:6" x14ac:dyDescent="0.2">
      <c r="A138" s="90"/>
      <c r="B138" s="90"/>
      <c r="C138" s="90"/>
      <c r="D138" s="90"/>
      <c r="E138" s="90"/>
      <c r="F138" s="90"/>
    </row>
    <row r="139" spans="1:6" x14ac:dyDescent="0.2">
      <c r="A139" s="90"/>
      <c r="B139" s="88" t="s">
        <v>262</v>
      </c>
      <c r="C139" s="94" t="s">
        <v>218</v>
      </c>
      <c r="D139" s="94" t="s">
        <v>219</v>
      </c>
      <c r="E139" s="94" t="s">
        <v>220</v>
      </c>
      <c r="F139" s="90"/>
    </row>
    <row r="140" spans="1:6" s="109" customFormat="1" ht="13.5" thickBot="1" x14ac:dyDescent="0.25">
      <c r="A140" s="108"/>
      <c r="B140" s="108"/>
      <c r="C140" s="108"/>
      <c r="D140" s="108"/>
      <c r="E140" s="108"/>
      <c r="F140" s="108"/>
    </row>
    <row r="141" spans="1:6" x14ac:dyDescent="0.2">
      <c r="A141" s="89"/>
      <c r="B141" s="92"/>
      <c r="C141" s="92"/>
      <c r="D141" s="90"/>
      <c r="E141" s="90"/>
      <c r="F141" s="90"/>
    </row>
    <row r="142" spans="1:6" ht="25.5" x14ac:dyDescent="0.2">
      <c r="A142" s="89" t="s">
        <v>263</v>
      </c>
      <c r="B142" s="116" t="s">
        <v>264</v>
      </c>
      <c r="C142" s="116" t="str">
        <f>"Hotel- und Kurbetriebe: Logiernächte im Juni "&amp;$C$3&amp;", nach Herkunft"</f>
        <v>Hotel- und Kurbetriebe: Logiernächte im Juni 2024, nach Herkunft</v>
      </c>
      <c r="D142" s="116" t="str">
        <f>"Manaschis d' hotel e da cura: pernottaziuns il zercladur "&amp;$C$3&amp;", tenor la derivanza"</f>
        <v>Manaschis d' hotel e da cura: pernottaziuns il zercladur 2024, tenor la derivanza</v>
      </c>
      <c r="E142" s="116" t="str">
        <f>"Alberghi e stabilimenti di cura: pernottamenti nel mese di giugno "&amp;$C$3&amp;", per provenienza"</f>
        <v>Alberghi e stabilimenti di cura: pernottamenti nel mese di giugno 2024, per provenienza</v>
      </c>
      <c r="F142" s="90"/>
    </row>
    <row r="143" spans="1:6" ht="25.5" x14ac:dyDescent="0.2">
      <c r="A143" s="89"/>
      <c r="B143" s="116" t="s">
        <v>265</v>
      </c>
      <c r="C143" s="116" t="str">
        <f>"Hotel- und Kurbetriebe: Logiernächte im Juni "&amp;$C$3&amp;", nach Destinationen"</f>
        <v>Hotel- und Kurbetriebe: Logiernächte im Juni 2024, nach Destinationen</v>
      </c>
      <c r="D143" s="116" t="str">
        <f>"Manaschis d' hotel e da cura: pernottaziuns il zercladur "&amp;$C$3&amp;", tenor destinaziuns"</f>
        <v>Manaschis d' hotel e da cura: pernottaziuns il zercladur 2024, tenor destinaziuns</v>
      </c>
      <c r="E143" s="116" t="str">
        <f>"Alberghi e stabilimenti di cura: pernottamenti nel mese di giugno "&amp;$C$3&amp;", per destinazione"</f>
        <v>Alberghi e stabilimenti di cura: pernottamenti nel mese di giugno 2024, per destinazione</v>
      </c>
      <c r="F143" s="90"/>
    </row>
    <row r="144" spans="1:6" ht="38.25" x14ac:dyDescent="0.2">
      <c r="A144" s="89"/>
      <c r="B144" s="116" t="s">
        <v>266</v>
      </c>
      <c r="C144" s="116" t="str">
        <f>"Hotel- und Kurbetriebe: Logiernächte im Juni "&amp;$C$3&amp;", nach Schweizer Tourismusregionen"</f>
        <v>Hotel- und Kurbetriebe: Logiernächte im Juni 2024, nach Schweizer Tourismusregionen</v>
      </c>
      <c r="D144" s="116" t="str">
        <f>"Manaschis d' hotel e da cura: pernottaziuns il zercladur "&amp;$C$3&amp;", tenor regiuns turisticas svizras"</f>
        <v>Manaschis d' hotel e da cura: pernottaziuns il zercladur 2024, tenor regiuns turisticas svizras</v>
      </c>
      <c r="E144" s="116" t="str">
        <f>"Alberghi e stabilimenti di cura: pernottamenti nel mese di giugno "&amp;$C$3&amp;", per regioni turistiche svizzere"</f>
        <v>Alberghi e stabilimenti di cura: pernottamenti nel mese di giugno 2024, per regioni turistiche svizzere</v>
      </c>
      <c r="F144" s="90"/>
    </row>
    <row r="145" spans="1:6" x14ac:dyDescent="0.2">
      <c r="A145" s="89"/>
      <c r="B145" s="89"/>
      <c r="C145" s="89"/>
      <c r="D145" s="89"/>
      <c r="E145" s="89"/>
      <c r="F145" s="90"/>
    </row>
    <row r="146" spans="1:6" x14ac:dyDescent="0.2">
      <c r="A146" s="89"/>
      <c r="B146" s="116" t="s">
        <v>267</v>
      </c>
      <c r="C146" s="116" t="str">
        <f>"Juni "&amp;$C$3</f>
        <v>Juni 2024</v>
      </c>
      <c r="D146" s="116" t="str">
        <f>"Zercladur "&amp;$C$3</f>
        <v>Zercladur 2024</v>
      </c>
      <c r="E146" s="116" t="str">
        <f>"Giugno "&amp;$C$3</f>
        <v>Giugno 2024</v>
      </c>
      <c r="F146" s="90"/>
    </row>
    <row r="147" spans="1:6" x14ac:dyDescent="0.2">
      <c r="A147" s="89"/>
      <c r="B147" s="116" t="s">
        <v>268</v>
      </c>
      <c r="C147" s="116" t="str">
        <f>"Juni "&amp;$C$3-1</f>
        <v>Juni 2023</v>
      </c>
      <c r="D147" s="116" t="str">
        <f>"Zercladur "&amp;$C$3-1</f>
        <v>Zercladur 2023</v>
      </c>
      <c r="E147" s="116" t="str">
        <f>"Giugno "&amp;$C$3-1</f>
        <v>Giugno 2023</v>
      </c>
      <c r="F147" s="90"/>
    </row>
    <row r="148" spans="1:6" x14ac:dyDescent="0.2">
      <c r="A148" s="89"/>
      <c r="B148" s="116" t="s">
        <v>269</v>
      </c>
      <c r="C148" s="116" t="str">
        <f>"Januar-Juni "&amp;$D$3</f>
        <v>Januar-Juni 24</v>
      </c>
      <c r="D148" s="116" t="str">
        <f>"Schaner-zercladur "&amp;$D$3</f>
        <v>Schaner-zercladur 24</v>
      </c>
      <c r="E148" s="116" t="str">
        <f>"Gennaio-giugno "&amp;$D$3</f>
        <v>Gennaio-giugno 24</v>
      </c>
      <c r="F148" s="90"/>
    </row>
    <row r="149" spans="1:6" x14ac:dyDescent="0.2">
      <c r="A149" s="89"/>
      <c r="B149" s="116" t="s">
        <v>270</v>
      </c>
      <c r="C149" s="116" t="str">
        <f>"Januar-Juni "&amp;$D$3-1</f>
        <v>Januar-Juni 23</v>
      </c>
      <c r="D149" s="116" t="str">
        <f>"Schaner-zercladur "&amp;$D$3-1</f>
        <v>Schaner-zercladur 23</v>
      </c>
      <c r="E149" s="116" t="str">
        <f>"Gennaio-giugno "&amp;$D$3-1</f>
        <v>Gennaio-giugno 23</v>
      </c>
      <c r="F149" s="90"/>
    </row>
    <row r="150" spans="1:6" x14ac:dyDescent="0.2">
      <c r="A150" s="89"/>
      <c r="B150" s="90"/>
      <c r="C150" s="90"/>
      <c r="D150" s="90"/>
      <c r="E150" s="90"/>
      <c r="F150" s="90"/>
    </row>
    <row r="151" spans="1:6" ht="25.5" x14ac:dyDescent="0.2">
      <c r="A151" s="90"/>
      <c r="B151" s="88" t="s">
        <v>271</v>
      </c>
      <c r="C151" s="88" t="s">
        <v>342</v>
      </c>
      <c r="D151" s="88" t="s">
        <v>343</v>
      </c>
      <c r="E151" s="88" t="s">
        <v>344</v>
      </c>
      <c r="F151" s="90"/>
    </row>
    <row r="152" spans="1:6" x14ac:dyDescent="0.2">
      <c r="A152" s="90"/>
      <c r="B152" s="90"/>
      <c r="C152" s="90"/>
      <c r="D152" s="90"/>
      <c r="E152" s="90"/>
      <c r="F152" s="90"/>
    </row>
    <row r="153" spans="1:6" x14ac:dyDescent="0.2">
      <c r="A153" s="90"/>
      <c r="B153" s="88" t="s">
        <v>272</v>
      </c>
      <c r="C153" s="94" t="s">
        <v>218</v>
      </c>
      <c r="D153" s="94" t="s">
        <v>219</v>
      </c>
      <c r="E153" s="94" t="s">
        <v>220</v>
      </c>
      <c r="F153" s="90"/>
    </row>
    <row r="154" spans="1:6" s="109" customFormat="1" ht="13.5" thickBot="1" x14ac:dyDescent="0.25">
      <c r="A154" s="108"/>
      <c r="B154" s="108"/>
      <c r="C154" s="108"/>
      <c r="D154" s="108"/>
      <c r="E154" s="108"/>
      <c r="F154" s="108"/>
    </row>
    <row r="155" spans="1:6" x14ac:dyDescent="0.2">
      <c r="A155" s="89"/>
      <c r="B155" s="92"/>
      <c r="C155" s="92"/>
      <c r="D155" s="90"/>
      <c r="E155" s="90"/>
      <c r="F155" s="90"/>
    </row>
    <row r="156" spans="1:6" ht="25.5" x14ac:dyDescent="0.2">
      <c r="A156" s="89" t="s">
        <v>273</v>
      </c>
      <c r="B156" s="116" t="s">
        <v>274</v>
      </c>
      <c r="C156" s="116" t="str">
        <f>"Hotel- und Kurbetriebe: Logiernächte im Juli "&amp;$C$3&amp;", nach Herkunft"</f>
        <v>Hotel- und Kurbetriebe: Logiernächte im Juli 2024, nach Herkunft</v>
      </c>
      <c r="D156" s="116" t="str">
        <f>"Manaschis d' hotel e da cura: pernottaziuns il fanadur "&amp;$C$3&amp;", tenor la derivanza"</f>
        <v>Manaschis d' hotel e da cura: pernottaziuns il fanadur 2024, tenor la derivanza</v>
      </c>
      <c r="E156" s="116" t="str">
        <f>"Alberghi e stabilimenti di cura: pernottamenti nel mese di luglio "&amp;$C$3&amp;", per provenienza"</f>
        <v>Alberghi e stabilimenti di cura: pernottamenti nel mese di luglio 2024, per provenienza</v>
      </c>
      <c r="F156" s="90"/>
    </row>
    <row r="157" spans="1:6" ht="25.5" x14ac:dyDescent="0.2">
      <c r="A157" s="89"/>
      <c r="B157" s="116" t="s">
        <v>275</v>
      </c>
      <c r="C157" s="116" t="str">
        <f>"Hotel- und Kurbetriebe: Logiernächte im Juli "&amp;$C$3&amp;", nach Destinationen"</f>
        <v>Hotel- und Kurbetriebe: Logiernächte im Juli 2024, nach Destinationen</v>
      </c>
      <c r="D157" s="116" t="str">
        <f>"Manaschis d' hotel e da cura: pernottaziuns il fanadur "&amp;$C$3&amp;", tenor destinaziuns"</f>
        <v>Manaschis d' hotel e da cura: pernottaziuns il fanadur 2024, tenor destinaziuns</v>
      </c>
      <c r="E157" s="116" t="str">
        <f>"Alberghi e stabilimenti di cura: pernottamenti nel mese di luglio "&amp;$C$3&amp;", per destinazione"</f>
        <v>Alberghi e stabilimenti di cura: pernottamenti nel mese di luglio 2024, per destinazione</v>
      </c>
      <c r="F157" s="90"/>
    </row>
    <row r="158" spans="1:6" ht="38.25" x14ac:dyDescent="0.2">
      <c r="A158" s="89"/>
      <c r="B158" s="116" t="s">
        <v>276</v>
      </c>
      <c r="C158" s="116" t="str">
        <f>"Hotel- und Kurbetriebe: Logiernächte im Juli "&amp;$C$3&amp;", nach Schweizer Tourismusregionen"</f>
        <v>Hotel- und Kurbetriebe: Logiernächte im Juli 2024, nach Schweizer Tourismusregionen</v>
      </c>
      <c r="D158" s="116" t="str">
        <f>"Manaschis d' hotel e da cura: pernottaziuns il fanadur "&amp;$C$3&amp;", tenor regiuns turisticas svizras"</f>
        <v>Manaschis d' hotel e da cura: pernottaziuns il fanadur 2024, tenor regiuns turisticas svizras</v>
      </c>
      <c r="E158" s="116" t="str">
        <f>"Alberghi e stabilimenti di cura: pernottamenti nel mese di luglio "&amp;$C$3&amp;", per regioni turistiche svizzere"</f>
        <v>Alberghi e stabilimenti di cura: pernottamenti nel mese di luglio 2024, per regioni turistiche svizzere</v>
      </c>
      <c r="F158" s="90"/>
    </row>
    <row r="159" spans="1:6" x14ac:dyDescent="0.2">
      <c r="A159" s="89"/>
      <c r="B159" s="89"/>
      <c r="C159" s="89"/>
      <c r="D159" s="89"/>
      <c r="E159" s="89"/>
      <c r="F159" s="90"/>
    </row>
    <row r="160" spans="1:6" x14ac:dyDescent="0.2">
      <c r="A160" s="89"/>
      <c r="B160" s="116" t="s">
        <v>277</v>
      </c>
      <c r="C160" s="116" t="str">
        <f>"Juli "&amp;$C$3</f>
        <v>Juli 2024</v>
      </c>
      <c r="D160" s="116" t="str">
        <f>"Fanadur "&amp;$C$3</f>
        <v>Fanadur 2024</v>
      </c>
      <c r="E160" s="116" t="str">
        <f>"Luglio "&amp;$C$3</f>
        <v>Luglio 2024</v>
      </c>
      <c r="F160" s="90"/>
    </row>
    <row r="161" spans="1:6" x14ac:dyDescent="0.2">
      <c r="A161" s="89"/>
      <c r="B161" s="116" t="s">
        <v>278</v>
      </c>
      <c r="C161" s="116" t="str">
        <f>"Juli "&amp;$C$3-1</f>
        <v>Juli 2023</v>
      </c>
      <c r="D161" s="116" t="str">
        <f>"Fanadur "&amp;$C$3-1</f>
        <v>Fanadur 2023</v>
      </c>
      <c r="E161" s="116" t="str">
        <f>"Luglio "&amp;$C$3-1</f>
        <v>Luglio 2023</v>
      </c>
      <c r="F161" s="90"/>
    </row>
    <row r="162" spans="1:6" x14ac:dyDescent="0.2">
      <c r="A162" s="89"/>
      <c r="B162" s="116" t="s">
        <v>279</v>
      </c>
      <c r="C162" s="116" t="str">
        <f>"Januar-Juli "&amp;$D$3</f>
        <v>Januar-Juli 24</v>
      </c>
      <c r="D162" s="116" t="str">
        <f>"Schaner-fanadur "&amp;$D$3</f>
        <v>Schaner-fanadur 24</v>
      </c>
      <c r="E162" s="116" t="str">
        <f>"Gennaio-luglio "&amp;$D$3</f>
        <v>Gennaio-luglio 24</v>
      </c>
      <c r="F162" s="90"/>
    </row>
    <row r="163" spans="1:6" x14ac:dyDescent="0.2">
      <c r="A163" s="89"/>
      <c r="B163" s="116" t="s">
        <v>280</v>
      </c>
      <c r="C163" s="116" t="str">
        <f>"Januar-Juli "&amp;$D$3-1</f>
        <v>Januar-Juli 23</v>
      </c>
      <c r="D163" s="116" t="str">
        <f>"Schaner-fanadur "&amp;$D$3-1</f>
        <v>Schaner-fanadur 23</v>
      </c>
      <c r="E163" s="116" t="str">
        <f>"Gennaio-luglio "&amp;$D$3-1</f>
        <v>Gennaio-luglio 23</v>
      </c>
      <c r="F163" s="90"/>
    </row>
    <row r="164" spans="1:6" x14ac:dyDescent="0.2">
      <c r="A164" s="89"/>
      <c r="B164" s="90"/>
      <c r="C164" s="90"/>
      <c r="D164" s="90"/>
      <c r="E164" s="90"/>
      <c r="F164" s="90"/>
    </row>
    <row r="165" spans="1:6" ht="25.5" x14ac:dyDescent="0.2">
      <c r="A165" s="90"/>
      <c r="B165" s="88" t="s">
        <v>283</v>
      </c>
      <c r="C165" s="88" t="s">
        <v>345</v>
      </c>
      <c r="D165" s="88" t="s">
        <v>346</v>
      </c>
      <c r="E165" s="88" t="s">
        <v>347</v>
      </c>
      <c r="F165" s="90"/>
    </row>
    <row r="166" spans="1:6" x14ac:dyDescent="0.2">
      <c r="A166" s="90"/>
      <c r="B166" s="90"/>
      <c r="C166" s="90"/>
      <c r="D166" s="90"/>
      <c r="E166" s="90"/>
      <c r="F166" s="90"/>
    </row>
    <row r="167" spans="1:6" x14ac:dyDescent="0.2">
      <c r="A167" s="90"/>
      <c r="B167" s="88" t="s">
        <v>282</v>
      </c>
      <c r="C167" s="94" t="s">
        <v>218</v>
      </c>
      <c r="D167" s="94" t="s">
        <v>219</v>
      </c>
      <c r="E167" s="94" t="s">
        <v>220</v>
      </c>
      <c r="F167" s="90"/>
    </row>
    <row r="168" spans="1:6" s="109" customFormat="1" ht="13.5" thickBot="1" x14ac:dyDescent="0.25">
      <c r="A168" s="108"/>
      <c r="B168" s="108"/>
      <c r="C168" s="108"/>
      <c r="D168" s="108"/>
      <c r="E168" s="108"/>
      <c r="F168" s="108"/>
    </row>
    <row r="169" spans="1:6" x14ac:dyDescent="0.2">
      <c r="A169" s="89"/>
      <c r="B169" s="92"/>
      <c r="C169" s="92"/>
      <c r="D169" s="90"/>
      <c r="E169" s="90"/>
      <c r="F169" s="90"/>
    </row>
    <row r="170" spans="1:6" ht="25.5" x14ac:dyDescent="0.2">
      <c r="A170" s="89" t="s">
        <v>284</v>
      </c>
      <c r="B170" s="116" t="s">
        <v>285</v>
      </c>
      <c r="C170" s="116" t="str">
        <f>"Hotel- und Kurbetriebe: Logiernächte im August "&amp;$C$3&amp;", nach Herkunft"</f>
        <v>Hotel- und Kurbetriebe: Logiernächte im August 2024, nach Herkunft</v>
      </c>
      <c r="D170" s="116" t="str">
        <f>"Manaschis d' hotel e da cura: pernottaziuns il avust "&amp;$C$3&amp;", tenor la derivanza"</f>
        <v>Manaschis d' hotel e da cura: pernottaziuns il avust 2024, tenor la derivanza</v>
      </c>
      <c r="E170" s="116" t="str">
        <f>"Alberghi e stabilimenti di cura: pernottamenti nel mese di agosto "&amp;$C$3&amp;", per provenienza"</f>
        <v>Alberghi e stabilimenti di cura: pernottamenti nel mese di agosto 2024, per provenienza</v>
      </c>
      <c r="F170" s="90"/>
    </row>
    <row r="171" spans="1:6" ht="25.5" x14ac:dyDescent="0.2">
      <c r="A171" s="89"/>
      <c r="B171" s="116" t="s">
        <v>286</v>
      </c>
      <c r="C171" s="116" t="str">
        <f>"Hotel- und Kurbetriebe: Logiernächte im August "&amp;$C$3&amp;", nach Destinationen"</f>
        <v>Hotel- und Kurbetriebe: Logiernächte im August 2024, nach Destinationen</v>
      </c>
      <c r="D171" s="116" t="str">
        <f>"Manaschis d' hotel e da cura: pernottaziuns il avust "&amp;$C$3&amp;", tenor destinaziuns"</f>
        <v>Manaschis d' hotel e da cura: pernottaziuns il avust 2024, tenor destinaziuns</v>
      </c>
      <c r="E171" s="116" t="str">
        <f>"Alberghi e stabilimenti di cura: pernottamenti nel mese di agosto "&amp;$C$3&amp;", per destinazione"</f>
        <v>Alberghi e stabilimenti di cura: pernottamenti nel mese di agosto 2024, per destinazione</v>
      </c>
      <c r="F171" s="90"/>
    </row>
    <row r="172" spans="1:6" ht="38.25" x14ac:dyDescent="0.2">
      <c r="A172" s="89"/>
      <c r="B172" s="116" t="s">
        <v>287</v>
      </c>
      <c r="C172" s="116" t="str">
        <f>"Hotel- und Kurbetriebe: Logiernächte im August "&amp;$C$3&amp;", nach Schweizer Tourismusregionen"</f>
        <v>Hotel- und Kurbetriebe: Logiernächte im August 2024, nach Schweizer Tourismusregionen</v>
      </c>
      <c r="D172" s="116" t="str">
        <f>"Manaschis d' hotel e da cura: pernottaziuns il avust "&amp;$C$3&amp;", tenor regiuns turisticas svizras"</f>
        <v>Manaschis d' hotel e da cura: pernottaziuns il avust 2024, tenor regiuns turisticas svizras</v>
      </c>
      <c r="E172" s="116" t="str">
        <f>"Alberghi e stabilimenti di cura: pernottamenti nel mese di agosto "&amp;$C$3&amp;", per regioni turistiche svizzere"</f>
        <v>Alberghi e stabilimenti di cura: pernottamenti nel mese di agosto 2024, per regioni turistiche svizzere</v>
      </c>
      <c r="F172" s="90"/>
    </row>
    <row r="173" spans="1:6" x14ac:dyDescent="0.2">
      <c r="A173" s="89"/>
      <c r="B173" s="89"/>
      <c r="C173" s="89"/>
      <c r="D173" s="89"/>
      <c r="E173" s="89"/>
      <c r="F173" s="90"/>
    </row>
    <row r="174" spans="1:6" x14ac:dyDescent="0.2">
      <c r="A174" s="89"/>
      <c r="B174" s="116" t="s">
        <v>288</v>
      </c>
      <c r="C174" s="116" t="str">
        <f>"August "&amp;$C$3</f>
        <v>August 2024</v>
      </c>
      <c r="D174" s="116" t="str">
        <f>"Avust "&amp;$C$3</f>
        <v>Avust 2024</v>
      </c>
      <c r="E174" s="116" t="str">
        <f>"Agosto "&amp;$C$3</f>
        <v>Agosto 2024</v>
      </c>
      <c r="F174" s="90"/>
    </row>
    <row r="175" spans="1:6" x14ac:dyDescent="0.2">
      <c r="A175" s="89"/>
      <c r="B175" s="116" t="s">
        <v>289</v>
      </c>
      <c r="C175" s="116" t="str">
        <f>"August "&amp;$C$3-1</f>
        <v>August 2023</v>
      </c>
      <c r="D175" s="116" t="str">
        <f>"Avust "&amp;$C$3-1</f>
        <v>Avust 2023</v>
      </c>
      <c r="E175" s="116" t="str">
        <f>"Agosto "&amp;$C$3-1</f>
        <v>Agosto 2023</v>
      </c>
      <c r="F175" s="90"/>
    </row>
    <row r="176" spans="1:6" x14ac:dyDescent="0.2">
      <c r="A176" s="89"/>
      <c r="B176" s="116" t="s">
        <v>290</v>
      </c>
      <c r="C176" s="116" t="str">
        <f>"Januar-August "&amp;$D$3</f>
        <v>Januar-August 24</v>
      </c>
      <c r="D176" s="116" t="str">
        <f>"Schaner-avust "&amp;$D$3</f>
        <v>Schaner-avust 24</v>
      </c>
      <c r="E176" s="116" t="str">
        <f>"Gennaio-agosto "&amp;$D$3</f>
        <v>Gennaio-agosto 24</v>
      </c>
      <c r="F176" s="90"/>
    </row>
    <row r="177" spans="1:6" x14ac:dyDescent="0.2">
      <c r="A177" s="89"/>
      <c r="B177" s="116" t="s">
        <v>291</v>
      </c>
      <c r="C177" s="116" t="str">
        <f>"Januar-August "&amp;$D$3-1</f>
        <v>Januar-August 23</v>
      </c>
      <c r="D177" s="116" t="str">
        <f>"Schaner-avust "&amp;$D$3-1</f>
        <v>Schaner-avust 23</v>
      </c>
      <c r="E177" s="116" t="str">
        <f>"Gennaio-agosto "&amp;$D$3-1</f>
        <v>Gennaio-agosto 23</v>
      </c>
      <c r="F177" s="90"/>
    </row>
    <row r="178" spans="1:6" x14ac:dyDescent="0.2">
      <c r="A178" s="89"/>
      <c r="B178" s="90"/>
      <c r="C178" s="90"/>
      <c r="D178" s="90"/>
      <c r="E178" s="90"/>
      <c r="F178" s="90"/>
    </row>
    <row r="179" spans="1:6" ht="25.5" x14ac:dyDescent="0.2">
      <c r="A179" s="90"/>
      <c r="B179" s="88" t="s">
        <v>281</v>
      </c>
      <c r="C179" s="88" t="s">
        <v>348</v>
      </c>
      <c r="D179" s="88" t="s">
        <v>349</v>
      </c>
      <c r="E179" s="88" t="s">
        <v>350</v>
      </c>
      <c r="F179" s="90"/>
    </row>
    <row r="180" spans="1:6" x14ac:dyDescent="0.2">
      <c r="A180" s="90"/>
      <c r="B180" s="90"/>
      <c r="C180" s="90"/>
      <c r="D180" s="90"/>
      <c r="E180" s="90"/>
      <c r="F180" s="90"/>
    </row>
    <row r="181" spans="1:6" x14ac:dyDescent="0.2">
      <c r="A181" s="90"/>
      <c r="B181" s="88" t="s">
        <v>292</v>
      </c>
      <c r="C181" s="94" t="s">
        <v>218</v>
      </c>
      <c r="D181" s="94" t="s">
        <v>219</v>
      </c>
      <c r="E181" s="94" t="s">
        <v>220</v>
      </c>
      <c r="F181" s="90"/>
    </row>
    <row r="182" spans="1:6" s="109" customFormat="1" ht="13.5" thickBot="1" x14ac:dyDescent="0.25">
      <c r="A182" s="108"/>
      <c r="B182" s="108"/>
      <c r="C182" s="108"/>
      <c r="D182" s="108"/>
      <c r="E182" s="108"/>
      <c r="F182" s="108"/>
    </row>
    <row r="183" spans="1:6" x14ac:dyDescent="0.2">
      <c r="A183" s="89"/>
      <c r="B183" s="92"/>
      <c r="C183" s="92"/>
      <c r="D183" s="90"/>
      <c r="E183" s="90"/>
      <c r="F183" s="90"/>
    </row>
    <row r="184" spans="1:6" ht="25.5" x14ac:dyDescent="0.2">
      <c r="A184" s="89" t="s">
        <v>293</v>
      </c>
      <c r="B184" s="116" t="s">
        <v>294</v>
      </c>
      <c r="C184" s="116" t="str">
        <f>"Hotel- und Kurbetriebe: Logiernächte im September "&amp;$C$3&amp;", nach Herkunft"</f>
        <v>Hotel- und Kurbetriebe: Logiernächte im September 2024, nach Herkunft</v>
      </c>
      <c r="D184" s="116" t="str">
        <f>"Manaschis d' hotel e da cura: pernottaziuns il september "&amp;$C$3&amp;", tenor la derivanza"</f>
        <v>Manaschis d' hotel e da cura: pernottaziuns il september 2024, tenor la derivanza</v>
      </c>
      <c r="E184" s="116" t="str">
        <f>"Alberghi e stabilimenti di cura: pernottamenti nel mese di settembre "&amp;$C$3&amp;", per provenienza"</f>
        <v>Alberghi e stabilimenti di cura: pernottamenti nel mese di settembre 2024, per provenienza</v>
      </c>
      <c r="F184" s="90"/>
    </row>
    <row r="185" spans="1:6" ht="25.5" x14ac:dyDescent="0.2">
      <c r="A185" s="89"/>
      <c r="B185" s="116" t="s">
        <v>295</v>
      </c>
      <c r="C185" s="116" t="str">
        <f>"Hotel- und Kurbetriebe: Logiernächte im September "&amp;$C$3&amp;", nach Destinationen"</f>
        <v>Hotel- und Kurbetriebe: Logiernächte im September 2024, nach Destinationen</v>
      </c>
      <c r="D185" s="116" t="str">
        <f>"Manaschis d' hotel e da cura: pernottaziuns il september "&amp;$C$3&amp;", tenor destinaziuns"</f>
        <v>Manaschis d' hotel e da cura: pernottaziuns il september 2024, tenor destinaziuns</v>
      </c>
      <c r="E185" s="116" t="str">
        <f>"Alberghi e stabilimenti di cura: pernottamenti nel mese di settembre "&amp;$C$3&amp;", per destinazione"</f>
        <v>Alberghi e stabilimenti di cura: pernottamenti nel mese di settembre 2024, per destinazione</v>
      </c>
      <c r="F185" s="90"/>
    </row>
    <row r="186" spans="1:6" ht="38.25" x14ac:dyDescent="0.2">
      <c r="A186" s="89"/>
      <c r="B186" s="116" t="s">
        <v>296</v>
      </c>
      <c r="C186" s="116" t="str">
        <f>"Hotel- und Kurbetriebe: Logiernächte im September "&amp;$C$3&amp;", nach Schweizer Tourismusregionen"</f>
        <v>Hotel- und Kurbetriebe: Logiernächte im September 2024, nach Schweizer Tourismusregionen</v>
      </c>
      <c r="D186" s="116" t="str">
        <f>"Manaschis d' hotel e da cura: pernottaziuns il september "&amp;$C$3&amp;", tenor regiuns turisticas svizras"</f>
        <v>Manaschis d' hotel e da cura: pernottaziuns il september 2024, tenor regiuns turisticas svizras</v>
      </c>
      <c r="E186" s="116" t="str">
        <f>"Alberghi e stabilimenti di cura: pernottamenti nel mese di settembre "&amp;$C$3&amp;", per regioni turistiche svizzere"</f>
        <v>Alberghi e stabilimenti di cura: pernottamenti nel mese di settembre 2024, per regioni turistiche svizzere</v>
      </c>
      <c r="F186" s="90"/>
    </row>
    <row r="187" spans="1:6" x14ac:dyDescent="0.2">
      <c r="A187" s="89"/>
      <c r="B187" s="89"/>
      <c r="C187" s="89"/>
      <c r="D187" s="89"/>
      <c r="E187" s="89"/>
      <c r="F187" s="90"/>
    </row>
    <row r="188" spans="1:6" x14ac:dyDescent="0.2">
      <c r="A188" s="89"/>
      <c r="B188" s="116" t="s">
        <v>297</v>
      </c>
      <c r="C188" s="116" t="str">
        <f>"September "&amp;$C$3</f>
        <v>September 2024</v>
      </c>
      <c r="D188" s="116" t="str">
        <f>"September "&amp;$C$3</f>
        <v>September 2024</v>
      </c>
      <c r="E188" s="116" t="str">
        <f>"Settembre "&amp;$C$3</f>
        <v>Settembre 2024</v>
      </c>
      <c r="F188" s="90"/>
    </row>
    <row r="189" spans="1:6" x14ac:dyDescent="0.2">
      <c r="A189" s="89"/>
      <c r="B189" s="116" t="s">
        <v>298</v>
      </c>
      <c r="C189" s="116" t="str">
        <f>"September "&amp;$C$3-1</f>
        <v>September 2023</v>
      </c>
      <c r="D189" s="116" t="str">
        <f>"September "&amp;$C$3-1</f>
        <v>September 2023</v>
      </c>
      <c r="E189" s="116" t="str">
        <f>"Settembre "&amp;$C$3-1</f>
        <v>Settembre 2023</v>
      </c>
      <c r="F189" s="90"/>
    </row>
    <row r="190" spans="1:6" x14ac:dyDescent="0.2">
      <c r="A190" s="89"/>
      <c r="B190" s="116" t="s">
        <v>299</v>
      </c>
      <c r="C190" s="116" t="str">
        <f>"Januar-September "&amp;$D$3</f>
        <v>Januar-September 24</v>
      </c>
      <c r="D190" s="116" t="str">
        <f>"Schaner-september "&amp;$D$3</f>
        <v>Schaner-september 24</v>
      </c>
      <c r="E190" s="116" t="str">
        <f>"Gennaio-settembre "&amp;$D$3</f>
        <v>Gennaio-settembre 24</v>
      </c>
      <c r="F190" s="90"/>
    </row>
    <row r="191" spans="1:6" x14ac:dyDescent="0.2">
      <c r="A191" s="89"/>
      <c r="B191" s="116" t="s">
        <v>300</v>
      </c>
      <c r="C191" s="116" t="str">
        <f>"Januar-September "&amp;$D$3-1</f>
        <v>Januar-September 23</v>
      </c>
      <c r="D191" s="116" t="str">
        <f>"Schaner-september "&amp;$D$3-1</f>
        <v>Schaner-september 23</v>
      </c>
      <c r="E191" s="116" t="str">
        <f>"Gennaio-settembre "&amp;$D$3-1</f>
        <v>Gennaio-settembre 23</v>
      </c>
      <c r="F191" s="90"/>
    </row>
    <row r="192" spans="1:6" x14ac:dyDescent="0.2">
      <c r="A192" s="89"/>
      <c r="B192" s="90"/>
      <c r="C192" s="90"/>
      <c r="D192" s="90"/>
      <c r="E192" s="90"/>
      <c r="F192" s="90"/>
    </row>
    <row r="193" spans="1:6" ht="25.5" x14ac:dyDescent="0.2">
      <c r="A193" s="90"/>
      <c r="B193" s="88" t="s">
        <v>301</v>
      </c>
      <c r="C193" s="88" t="s">
        <v>351</v>
      </c>
      <c r="D193" s="88" t="s">
        <v>352</v>
      </c>
      <c r="E193" s="88" t="s">
        <v>353</v>
      </c>
      <c r="F193" s="90"/>
    </row>
    <row r="194" spans="1:6" x14ac:dyDescent="0.2">
      <c r="A194" s="90"/>
      <c r="B194" s="90"/>
      <c r="C194" s="90"/>
      <c r="D194" s="90"/>
      <c r="E194" s="90"/>
      <c r="F194" s="90"/>
    </row>
    <row r="195" spans="1:6" x14ac:dyDescent="0.2">
      <c r="A195" s="90"/>
      <c r="B195" s="88" t="s">
        <v>302</v>
      </c>
      <c r="C195" s="94" t="s">
        <v>218</v>
      </c>
      <c r="D195" s="94" t="s">
        <v>219</v>
      </c>
      <c r="E195" s="94" t="s">
        <v>220</v>
      </c>
      <c r="F195" s="90"/>
    </row>
    <row r="196" spans="1:6" s="109" customFormat="1" ht="13.5" thickBot="1" x14ac:dyDescent="0.25">
      <c r="A196" s="108"/>
      <c r="B196" s="108"/>
      <c r="C196" s="108"/>
      <c r="D196" s="108"/>
      <c r="E196" s="108"/>
      <c r="F196" s="108"/>
    </row>
    <row r="197" spans="1:6" x14ac:dyDescent="0.2">
      <c r="A197" s="89"/>
      <c r="B197" s="92"/>
      <c r="C197" s="92"/>
      <c r="D197" s="90"/>
      <c r="E197" s="90"/>
      <c r="F197" s="90"/>
    </row>
    <row r="198" spans="1:6" ht="25.5" x14ac:dyDescent="0.2">
      <c r="A198" s="89" t="s">
        <v>303</v>
      </c>
      <c r="B198" s="116" t="s">
        <v>304</v>
      </c>
      <c r="C198" s="116" t="str">
        <f>"Hotel- und Kurbetriebe: Logiernächte im Oktober "&amp;$C$3&amp;", nach Herkunft"</f>
        <v>Hotel- und Kurbetriebe: Logiernächte im Oktober 2024, nach Herkunft</v>
      </c>
      <c r="D198" s="116" t="str">
        <f>"Manaschis d' hotel e da cura: pernottaziuns il oktober "&amp;$C$3&amp;", tenor la derivanza"</f>
        <v>Manaschis d' hotel e da cura: pernottaziuns il oktober 2024, tenor la derivanza</v>
      </c>
      <c r="E198" s="116" t="str">
        <f>"Alberghi e stabilimenti di cura: pernottamenti nel mese di ottobre "&amp;$C$3&amp;", per provenienza"</f>
        <v>Alberghi e stabilimenti di cura: pernottamenti nel mese di ottobre 2024, per provenienza</v>
      </c>
      <c r="F198" s="90"/>
    </row>
    <row r="199" spans="1:6" ht="25.5" x14ac:dyDescent="0.2">
      <c r="A199" s="89"/>
      <c r="B199" s="116" t="s">
        <v>305</v>
      </c>
      <c r="C199" s="116" t="str">
        <f>"Hotel- und Kurbetriebe: Logiernächte im Oktober "&amp;$C$3&amp;", nach Destinationen"</f>
        <v>Hotel- und Kurbetriebe: Logiernächte im Oktober 2024, nach Destinationen</v>
      </c>
      <c r="D199" s="116" t="str">
        <f>"Manaschis d' hotel e da cura: pernottaziuns il oktober "&amp;$C$3&amp;", tenor destinaziuns"</f>
        <v>Manaschis d' hotel e da cura: pernottaziuns il oktober 2024, tenor destinaziuns</v>
      </c>
      <c r="E199" s="116" t="str">
        <f>"Alberghi e stabilimenti di cura: pernottamenti nel mese di ottobre "&amp;$C$3&amp;", per destinazione"</f>
        <v>Alberghi e stabilimenti di cura: pernottamenti nel mese di ottobre 2024, per destinazione</v>
      </c>
      <c r="F199" s="90"/>
    </row>
    <row r="200" spans="1:6" ht="38.25" x14ac:dyDescent="0.2">
      <c r="A200" s="89"/>
      <c r="B200" s="116" t="s">
        <v>306</v>
      </c>
      <c r="C200" s="116" t="str">
        <f>"Hotel- und Kurbetriebe: Logiernächte im Oktober "&amp;$C$3&amp;", nach Schweizer Tourismusregionen"</f>
        <v>Hotel- und Kurbetriebe: Logiernächte im Oktober 2024, nach Schweizer Tourismusregionen</v>
      </c>
      <c r="D200" s="116" t="str">
        <f>"Manaschis d' hotel e da cura: pernottaziuns il oktober "&amp;$C$3&amp;", tenor regiuns turisticas svizras"</f>
        <v>Manaschis d' hotel e da cura: pernottaziuns il oktober 2024, tenor regiuns turisticas svizras</v>
      </c>
      <c r="E200" s="116" t="str">
        <f>"Alberghi e stabilimenti di cura: pernottamenti nel mese di ottobre "&amp;$C$3&amp;", per regioni turistiche svizzere"</f>
        <v>Alberghi e stabilimenti di cura: pernottamenti nel mese di ottobre 2024, per regioni turistiche svizzere</v>
      </c>
      <c r="F200" s="90"/>
    </row>
    <row r="201" spans="1:6" x14ac:dyDescent="0.2">
      <c r="A201" s="89"/>
      <c r="B201" s="89"/>
      <c r="C201" s="89"/>
      <c r="D201" s="89"/>
      <c r="E201" s="89"/>
      <c r="F201" s="90"/>
    </row>
    <row r="202" spans="1:6" ht="12.75" customHeight="1" x14ac:dyDescent="0.2">
      <c r="A202" s="89"/>
      <c r="B202" s="116" t="s">
        <v>307</v>
      </c>
      <c r="C202" s="116" t="str">
        <f>"Oktober "&amp;$C$3</f>
        <v>Oktober 2024</v>
      </c>
      <c r="D202" s="116" t="str">
        <f>"Oktober "&amp;$C$3</f>
        <v>Oktober 2024</v>
      </c>
      <c r="E202" s="116" t="str">
        <f>"Ottobre "&amp;$C$3</f>
        <v>Ottobre 2024</v>
      </c>
      <c r="F202" s="90"/>
    </row>
    <row r="203" spans="1:6" ht="12.75" customHeight="1" x14ac:dyDescent="0.2">
      <c r="A203" s="89"/>
      <c r="B203" s="116" t="s">
        <v>308</v>
      </c>
      <c r="C203" s="116" t="str">
        <f>"Oktober "&amp;$C$3-1</f>
        <v>Oktober 2023</v>
      </c>
      <c r="D203" s="116" t="str">
        <f>"Oktober "&amp;$C$3-1</f>
        <v>Oktober 2023</v>
      </c>
      <c r="E203" s="116" t="str">
        <f>"Ottobre "&amp;$C$3-1</f>
        <v>Ottobre 2023</v>
      </c>
      <c r="F203" s="90"/>
    </row>
    <row r="204" spans="1:6" ht="12.75" customHeight="1" x14ac:dyDescent="0.2">
      <c r="A204" s="89"/>
      <c r="B204" s="116" t="s">
        <v>309</v>
      </c>
      <c r="C204" s="116" t="str">
        <f>"Januar-Oktober "&amp;$D$3</f>
        <v>Januar-Oktober 24</v>
      </c>
      <c r="D204" s="116" t="str">
        <f>"Schaner-oktober "&amp;$D$3</f>
        <v>Schaner-oktober 24</v>
      </c>
      <c r="E204" s="116" t="str">
        <f>"Gennaio-ottobre "&amp;$D$3</f>
        <v>Gennaio-ottobre 24</v>
      </c>
      <c r="F204" s="90"/>
    </row>
    <row r="205" spans="1:6" ht="12.75" customHeight="1" x14ac:dyDescent="0.2">
      <c r="A205" s="89"/>
      <c r="B205" s="116" t="s">
        <v>310</v>
      </c>
      <c r="C205" s="116" t="str">
        <f>"Januar-Oktober "&amp;$D$3-1</f>
        <v>Januar-Oktober 23</v>
      </c>
      <c r="D205" s="116" t="str">
        <f>"Schaner-oktober "&amp;$D$3-1</f>
        <v>Schaner-oktober 23</v>
      </c>
      <c r="E205" s="116" t="str">
        <f>"Gennaio-ottobre "&amp;$D$3-1</f>
        <v>Gennaio-ottobre 23</v>
      </c>
      <c r="F205" s="90"/>
    </row>
    <row r="206" spans="1:6" ht="12.75" customHeight="1" x14ac:dyDescent="0.2">
      <c r="A206" s="89"/>
      <c r="B206" s="90"/>
      <c r="C206" s="90"/>
      <c r="D206" s="90"/>
      <c r="E206" s="90"/>
      <c r="F206" s="90"/>
    </row>
    <row r="207" spans="1:6" ht="12.75" customHeight="1" x14ac:dyDescent="0.2">
      <c r="A207" s="90"/>
      <c r="B207" s="88" t="s">
        <v>311</v>
      </c>
      <c r="C207" s="88" t="s">
        <v>354</v>
      </c>
      <c r="D207" s="88" t="s">
        <v>355</v>
      </c>
      <c r="E207" s="88" t="s">
        <v>356</v>
      </c>
      <c r="F207" s="90"/>
    </row>
    <row r="208" spans="1:6" ht="12.75" customHeight="1" x14ac:dyDescent="0.2">
      <c r="A208" s="90"/>
      <c r="B208" s="90"/>
      <c r="C208" s="90"/>
      <c r="D208" s="90"/>
      <c r="E208" s="90"/>
      <c r="F208" s="90"/>
    </row>
    <row r="209" spans="1:6" ht="12.75" customHeight="1" x14ac:dyDescent="0.2">
      <c r="A209" s="90"/>
      <c r="B209" s="88" t="s">
        <v>312</v>
      </c>
      <c r="C209" s="94" t="s">
        <v>218</v>
      </c>
      <c r="D209" s="94" t="s">
        <v>219</v>
      </c>
      <c r="E209" s="94" t="s">
        <v>220</v>
      </c>
      <c r="F209" s="90"/>
    </row>
    <row r="210" spans="1:6" s="109" customFormat="1" ht="13.5" thickBot="1" x14ac:dyDescent="0.25">
      <c r="A210" s="108"/>
      <c r="B210" s="108"/>
      <c r="C210" s="108"/>
      <c r="D210" s="108"/>
      <c r="E210" s="108"/>
      <c r="F210" s="108"/>
    </row>
    <row r="211" spans="1:6" x14ac:dyDescent="0.2">
      <c r="A211" s="89"/>
      <c r="B211" s="92"/>
      <c r="C211" s="92"/>
      <c r="D211" s="90"/>
      <c r="E211" s="90"/>
      <c r="F211" s="90"/>
    </row>
    <row r="212" spans="1:6" ht="25.5" x14ac:dyDescent="0.2">
      <c r="A212" s="89" t="s">
        <v>313</v>
      </c>
      <c r="B212" s="116" t="s">
        <v>314</v>
      </c>
      <c r="C212" s="116" t="str">
        <f>"Hotel- und Kurbetriebe: Logiernächte im November "&amp;$C$3&amp;", nach Herkunft"</f>
        <v>Hotel- und Kurbetriebe: Logiernächte im November 2024, nach Herkunft</v>
      </c>
      <c r="D212" s="116" t="str">
        <f>"Manaschis d' hotel e da cura: pernottaziuns il november "&amp;$C$3&amp;", tenor la derivanza"</f>
        <v>Manaschis d' hotel e da cura: pernottaziuns il november 2024, tenor la derivanza</v>
      </c>
      <c r="E212" s="116" t="str">
        <f>"Alberghi e stabilimenti di cura: pernottamenti nel mese di novembre "&amp;$C$3&amp;", per provenienza"</f>
        <v>Alberghi e stabilimenti di cura: pernottamenti nel mese di novembre 2024, per provenienza</v>
      </c>
      <c r="F212" s="90"/>
    </row>
    <row r="213" spans="1:6" ht="25.5" x14ac:dyDescent="0.2">
      <c r="A213" s="89"/>
      <c r="B213" s="116" t="s">
        <v>315</v>
      </c>
      <c r="C213" s="116" t="str">
        <f>"Hotel- und Kurbetriebe: Logiernächte im November "&amp;$C$3&amp;", nach Destinationen"</f>
        <v>Hotel- und Kurbetriebe: Logiernächte im November 2024, nach Destinationen</v>
      </c>
      <c r="D213" s="116" t="str">
        <f>"Manaschis d' hotel e da cura: pernottaziuns il november "&amp;$C$3&amp;", tenor destinaziuns"</f>
        <v>Manaschis d' hotel e da cura: pernottaziuns il november 2024, tenor destinaziuns</v>
      </c>
      <c r="E213" s="116" t="str">
        <f>"Alberghi e stabilimenti di cura: pernottamenti nel mese di novembre "&amp;$C$3&amp;", per destinazione"</f>
        <v>Alberghi e stabilimenti di cura: pernottamenti nel mese di novembre 2024, per destinazione</v>
      </c>
      <c r="F213" s="90"/>
    </row>
    <row r="214" spans="1:6" ht="38.25" x14ac:dyDescent="0.2">
      <c r="A214" s="89"/>
      <c r="B214" s="116" t="s">
        <v>316</v>
      </c>
      <c r="C214" s="116" t="str">
        <f>"Hotel- und Kurbetriebe: Logiernächte im November "&amp;$C$3&amp;", nach Schweizer Tourismusregionen"</f>
        <v>Hotel- und Kurbetriebe: Logiernächte im November 2024, nach Schweizer Tourismusregionen</v>
      </c>
      <c r="D214" s="116" t="str">
        <f>"Manaschis d' hotel e da cura: pernottaziuns il november "&amp;$C$3&amp;", tenor regiuns turisticas svizras"</f>
        <v>Manaschis d' hotel e da cura: pernottaziuns il november 2024, tenor regiuns turisticas svizras</v>
      </c>
      <c r="E214" s="116" t="str">
        <f>"Alberghi e stabilimenti di cura: pernottamenti nel mese di novembre "&amp;$C$3&amp;", per regioni turistiche svizzere"</f>
        <v>Alberghi e stabilimenti di cura: pernottamenti nel mese di novembre 2024, per regioni turistiche svizzere</v>
      </c>
      <c r="F214" s="90"/>
    </row>
    <row r="215" spans="1:6" ht="12.75" customHeight="1" x14ac:dyDescent="0.2">
      <c r="A215" s="89"/>
      <c r="B215" s="89"/>
      <c r="C215" s="89"/>
      <c r="D215" s="89"/>
      <c r="E215" s="89"/>
      <c r="F215" s="90"/>
    </row>
    <row r="216" spans="1:6" ht="12.75" customHeight="1" x14ac:dyDescent="0.2">
      <c r="A216" s="89"/>
      <c r="B216" s="116" t="s">
        <v>317</v>
      </c>
      <c r="C216" s="116" t="str">
        <f>"November "&amp;$C$3</f>
        <v>November 2024</v>
      </c>
      <c r="D216" s="116" t="str">
        <f>"November "&amp;$C$3</f>
        <v>November 2024</v>
      </c>
      <c r="E216" s="116" t="str">
        <f>"Novembre "&amp;$C$3</f>
        <v>Novembre 2024</v>
      </c>
      <c r="F216" s="90"/>
    </row>
    <row r="217" spans="1:6" ht="12.75" customHeight="1" x14ac:dyDescent="0.2">
      <c r="A217" s="89"/>
      <c r="B217" s="116" t="s">
        <v>318</v>
      </c>
      <c r="C217" s="116" t="str">
        <f>"November "&amp;$C$3-1</f>
        <v>November 2023</v>
      </c>
      <c r="D217" s="116" t="str">
        <f>"November "&amp;$C$3-1</f>
        <v>November 2023</v>
      </c>
      <c r="E217" s="116" t="str">
        <f>"Novembre "&amp;$C$3-1</f>
        <v>Novembre 2023</v>
      </c>
      <c r="F217" s="90"/>
    </row>
    <row r="218" spans="1:6" ht="12.75" customHeight="1" x14ac:dyDescent="0.2">
      <c r="A218" s="89"/>
      <c r="B218" s="116" t="s">
        <v>319</v>
      </c>
      <c r="C218" s="116" t="str">
        <f>"Januar-November "&amp;$D$3</f>
        <v>Januar-November 24</v>
      </c>
      <c r="D218" s="116" t="str">
        <f>"Schaner-november "&amp;$D$3</f>
        <v>Schaner-november 24</v>
      </c>
      <c r="E218" s="116" t="str">
        <f>"Gennaio-novembre "&amp;$D$3</f>
        <v>Gennaio-novembre 24</v>
      </c>
      <c r="F218" s="90"/>
    </row>
    <row r="219" spans="1:6" ht="12.75" customHeight="1" x14ac:dyDescent="0.2">
      <c r="A219" s="89"/>
      <c r="B219" s="116" t="s">
        <v>320</v>
      </c>
      <c r="C219" s="116" t="str">
        <f>"Januar-November "&amp;$D$3-1</f>
        <v>Januar-November 23</v>
      </c>
      <c r="D219" s="116" t="str">
        <f>"Schaner-november "&amp;$D$3-1</f>
        <v>Schaner-november 23</v>
      </c>
      <c r="E219" s="116" t="str">
        <f>"Gennaio-novembre "&amp;$D$3-1</f>
        <v>Gennaio-novembre 23</v>
      </c>
      <c r="F219" s="90"/>
    </row>
    <row r="220" spans="1:6" ht="12.75" customHeight="1" x14ac:dyDescent="0.2">
      <c r="A220" s="89"/>
      <c r="B220" s="90"/>
      <c r="C220" s="90"/>
      <c r="D220" s="90"/>
      <c r="E220" s="90"/>
      <c r="F220" s="90"/>
    </row>
    <row r="221" spans="1:6" ht="12.75" customHeight="1" x14ac:dyDescent="0.2">
      <c r="A221" s="90"/>
      <c r="B221" s="88" t="s">
        <v>321</v>
      </c>
      <c r="C221" s="88" t="s">
        <v>357</v>
      </c>
      <c r="D221" s="88" t="s">
        <v>358</v>
      </c>
      <c r="E221" s="88" t="s">
        <v>359</v>
      </c>
      <c r="F221" s="90"/>
    </row>
    <row r="222" spans="1:6" ht="12.75" customHeight="1" x14ac:dyDescent="0.2">
      <c r="A222" s="90"/>
      <c r="B222" s="90"/>
      <c r="C222" s="90"/>
      <c r="D222" s="90"/>
      <c r="E222" s="90"/>
      <c r="F222" s="90"/>
    </row>
    <row r="223" spans="1:6" ht="12.75" customHeight="1" x14ac:dyDescent="0.2">
      <c r="A223" s="90"/>
      <c r="B223" s="88" t="s">
        <v>322</v>
      </c>
      <c r="C223" s="94" t="s">
        <v>218</v>
      </c>
      <c r="D223" s="94" t="s">
        <v>219</v>
      </c>
      <c r="E223" s="94" t="s">
        <v>220</v>
      </c>
      <c r="F223" s="90"/>
    </row>
    <row r="224" spans="1:6" s="109" customFormat="1" ht="13.5" thickBot="1" x14ac:dyDescent="0.25">
      <c r="A224" s="108"/>
      <c r="B224" s="108"/>
      <c r="C224" s="108"/>
      <c r="D224" s="108"/>
      <c r="E224" s="108"/>
      <c r="F224" s="108"/>
    </row>
    <row r="225" spans="1:6" x14ac:dyDescent="0.2">
      <c r="A225" s="89"/>
      <c r="B225" s="92"/>
      <c r="C225" s="92"/>
      <c r="D225" s="90"/>
      <c r="E225" s="90"/>
      <c r="F225" s="90"/>
    </row>
    <row r="226" spans="1:6" ht="25.5" x14ac:dyDescent="0.2">
      <c r="A226" s="89" t="s">
        <v>332</v>
      </c>
      <c r="B226" s="116" t="s">
        <v>323</v>
      </c>
      <c r="C226" s="116" t="str">
        <f>"Hotel- und Kurbetriebe: Logiernächte im Dezember "&amp;$C$3&amp;", nach Herkunft"</f>
        <v>Hotel- und Kurbetriebe: Logiernächte im Dezember 2024, nach Herkunft</v>
      </c>
      <c r="D226" s="116" t="str">
        <f>"Manaschis d' hotel e da cura: pernottaziuns il dezember "&amp;$C$3&amp;", tenor la derivanza"</f>
        <v>Manaschis d' hotel e da cura: pernottaziuns il dezember 2024, tenor la derivanza</v>
      </c>
      <c r="E226" s="116" t="str">
        <f>"Alberghi e stabilimenti di cura: pernottamenti nel mese di dicembre "&amp;$C$3&amp;", per provenienza"</f>
        <v>Alberghi e stabilimenti di cura: pernottamenti nel mese di dicembre 2024, per provenienza</v>
      </c>
      <c r="F226" s="90"/>
    </row>
    <row r="227" spans="1:6" ht="25.5" x14ac:dyDescent="0.2">
      <c r="A227" s="89"/>
      <c r="B227" s="116" t="s">
        <v>324</v>
      </c>
      <c r="C227" s="116" t="str">
        <f>"Hotel- und Kurbetriebe: Logiernächte im Dezember "&amp;$C$3&amp;", nach Destinationen"</f>
        <v>Hotel- und Kurbetriebe: Logiernächte im Dezember 2024, nach Destinationen</v>
      </c>
      <c r="D227" s="116" t="str">
        <f>"Manaschis d' hotel e da cura: pernottaziuns il dezember "&amp;$C$3&amp;", tenor destinaziuns"</f>
        <v>Manaschis d' hotel e da cura: pernottaziuns il dezember 2024, tenor destinaziuns</v>
      </c>
      <c r="E227" s="116" t="str">
        <f>"Alberghi e stabilimenti di cura: pernottamenti nel mese di dicembre "&amp;$C$3&amp;", per destinazione"</f>
        <v>Alberghi e stabilimenti di cura: pernottamenti nel mese di dicembre 2024, per destinazione</v>
      </c>
      <c r="F227" s="90"/>
    </row>
    <row r="228" spans="1:6" ht="38.25" x14ac:dyDescent="0.2">
      <c r="A228" s="89"/>
      <c r="B228" s="116" t="s">
        <v>325</v>
      </c>
      <c r="C228" s="116" t="str">
        <f>"Hotel- und Kurbetriebe: Logiernächte im Dezember "&amp;$C$3&amp;", nach Schweizer Tourismusregionen"</f>
        <v>Hotel- und Kurbetriebe: Logiernächte im Dezember 2024, nach Schweizer Tourismusregionen</v>
      </c>
      <c r="D228" s="116" t="str">
        <f>"Manaschis d' hotel e da cura: pernottaziuns il dezember "&amp;$C$3&amp;", tenor regiuns turisticas svizras"</f>
        <v>Manaschis d' hotel e da cura: pernottaziuns il dezember 2024, tenor regiuns turisticas svizras</v>
      </c>
      <c r="E228" s="116" t="str">
        <f>"Alberghi e stabilimenti di cura: pernottamenti nel mese di dicembre "&amp;$C$3&amp;", per regioni turistiche svizzere"</f>
        <v>Alberghi e stabilimenti di cura: pernottamenti nel mese di dicembre 2024, per regioni turistiche svizzere</v>
      </c>
      <c r="F228" s="90"/>
    </row>
    <row r="229" spans="1:6" ht="12.75" customHeight="1" x14ac:dyDescent="0.2">
      <c r="A229" s="89"/>
      <c r="B229" s="89"/>
      <c r="C229" s="89"/>
      <c r="D229" s="89"/>
      <c r="E229" s="89"/>
      <c r="F229" s="90"/>
    </row>
    <row r="230" spans="1:6" ht="12.75" customHeight="1" x14ac:dyDescent="0.2">
      <c r="A230" s="89"/>
      <c r="B230" s="116" t="s">
        <v>326</v>
      </c>
      <c r="C230" s="116" t="str">
        <f>"Dezember "&amp;$C$3</f>
        <v>Dezember 2024</v>
      </c>
      <c r="D230" s="116" t="str">
        <f>"Dezember "&amp;$C$3</f>
        <v>Dezember 2024</v>
      </c>
      <c r="E230" s="116" t="str">
        <f>"Dicembre "&amp;$C$3</f>
        <v>Dicembre 2024</v>
      </c>
      <c r="F230" s="90"/>
    </row>
    <row r="231" spans="1:6" ht="12.75" customHeight="1" x14ac:dyDescent="0.2">
      <c r="A231" s="89"/>
      <c r="B231" s="116" t="s">
        <v>327</v>
      </c>
      <c r="C231" s="116" t="str">
        <f>"Dezember "&amp;$C$3-1</f>
        <v>Dezember 2023</v>
      </c>
      <c r="D231" s="116" t="str">
        <f>"Dezember "&amp;$C$3-1</f>
        <v>Dezember 2023</v>
      </c>
      <c r="E231" s="116" t="str">
        <f>"Dicembre "&amp;$C$3-1</f>
        <v>Dicembre 2023</v>
      </c>
      <c r="F231" s="90"/>
    </row>
    <row r="232" spans="1:6" ht="12.75" customHeight="1" x14ac:dyDescent="0.2">
      <c r="A232" s="89"/>
      <c r="B232" s="116" t="s">
        <v>328</v>
      </c>
      <c r="C232" s="116" t="str">
        <f>"Januar-Dezember "&amp;$D$3</f>
        <v>Januar-Dezember 24</v>
      </c>
      <c r="D232" s="116" t="str">
        <f>"Schaner-dezember "&amp;$D$3</f>
        <v>Schaner-dezember 24</v>
      </c>
      <c r="E232" s="116" t="str">
        <f>"Gennaio-dicembre "&amp;$D$3</f>
        <v>Gennaio-dicembre 24</v>
      </c>
      <c r="F232" s="90"/>
    </row>
    <row r="233" spans="1:6" ht="12.75" customHeight="1" x14ac:dyDescent="0.2">
      <c r="A233" s="89"/>
      <c r="B233" s="116" t="s">
        <v>329</v>
      </c>
      <c r="C233" s="116" t="str">
        <f>"Januar-Dezember "&amp;$D$3-1</f>
        <v>Januar-Dezember 23</v>
      </c>
      <c r="D233" s="116" t="str">
        <f>"Schaner-dezember "&amp;$D$3-1</f>
        <v>Schaner-dezember 23</v>
      </c>
      <c r="E233" s="116" t="str">
        <f>"Gennaio-dicembre "&amp;$D$3-1</f>
        <v>Gennaio-dicembre 23</v>
      </c>
      <c r="F233" s="90"/>
    </row>
    <row r="234" spans="1:6" ht="12.75" customHeight="1" x14ac:dyDescent="0.2">
      <c r="A234" s="89"/>
      <c r="B234" s="90"/>
      <c r="C234" s="90"/>
      <c r="D234" s="90"/>
      <c r="E234" s="90"/>
      <c r="F234" s="90"/>
    </row>
    <row r="235" spans="1:6" ht="12.75" customHeight="1" x14ac:dyDescent="0.2">
      <c r="A235" s="90"/>
      <c r="B235" s="88" t="s">
        <v>330</v>
      </c>
      <c r="C235" s="88" t="s">
        <v>216</v>
      </c>
      <c r="D235" s="88" t="s">
        <v>360</v>
      </c>
      <c r="E235" s="88" t="s">
        <v>361</v>
      </c>
      <c r="F235" s="90"/>
    </row>
    <row r="236" spans="1:6" ht="12.75" customHeight="1" x14ac:dyDescent="0.2">
      <c r="A236" s="90"/>
      <c r="B236" s="90"/>
      <c r="C236" s="90"/>
      <c r="D236" s="90"/>
      <c r="E236" s="90"/>
      <c r="F236" s="90"/>
    </row>
    <row r="237" spans="1:6" ht="12.75" customHeight="1" x14ac:dyDescent="0.2">
      <c r="A237" s="90"/>
      <c r="B237" s="88" t="s">
        <v>331</v>
      </c>
      <c r="C237" s="94" t="s">
        <v>218</v>
      </c>
      <c r="D237" s="94" t="s">
        <v>219</v>
      </c>
      <c r="E237" s="94" t="s">
        <v>220</v>
      </c>
      <c r="F237" s="90"/>
    </row>
    <row r="238" spans="1:6" x14ac:dyDescent="0.2">
      <c r="A238" s="90"/>
      <c r="B238" s="90"/>
      <c r="C238" s="90"/>
      <c r="D238" s="90"/>
      <c r="E238" s="90"/>
      <c r="F238" s="90"/>
    </row>
    <row r="239" spans="1:6" x14ac:dyDescent="0.2">
      <c r="A239" s="89"/>
      <c r="B239" s="92"/>
      <c r="C239" s="92"/>
      <c r="D239" s="90"/>
      <c r="E239" s="90"/>
      <c r="F239" s="9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J90"/>
  <sheetViews>
    <sheetView topLeftCell="A34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VLOOKUP("&lt;T11Titel1&gt;",Uebersetzungen!$B$4:$E$303,Uebersetzungen!$B$2+1,FALSE)</f>
        <v>Hotel- und Kurbetriebe: Logiernächte im November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VLOOKUP("&lt;T11SpaltenTitel_1&gt;",Uebersetzungen!$B$4:$E$303,Uebersetzungen!$B$2+1,FALSE)</f>
        <v>November 2024</v>
      </c>
      <c r="D12" s="21" t="str">
        <f>VLOOKUP("&lt;T11SpaltenTitel_2&gt;",Uebersetzungen!$B$4:$E$303,Uebersetzungen!$B$2+1,FALSE)</f>
        <v>November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VLOOKUP("&lt;T11SpaltenTitel_5&gt;",Uebersetzungen!$B$4:$E$303,Uebersetzungen!$B$2+1,FALSE)</f>
        <v>Januar-November 24</v>
      </c>
      <c r="H12" s="22" t="str">
        <f>VLOOKUP("&lt;T11SpaltenTitel_6&gt;",Uebersetzungen!$B$4:$E$303,Uebersetzungen!$B$2+1,FALSE)</f>
        <v>Januar-November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VLOOKUP("&lt;T11Titel2&gt;",Uebersetzungen!$B$4:$E$303,Uebersetzungen!$B$2+1,FALSE)</f>
        <v>Hotel- und Kurbetriebe: Logiernächte im November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VLOOKUP("&lt;T11SpaltenTitel_1&gt;",Uebersetzungen!$B$4:$E$303,Uebersetzungen!$B$2+1,FALSE)</f>
        <v>November 2024</v>
      </c>
      <c r="D42" s="21" t="str">
        <f>VLOOKUP("&lt;T11SpaltenTitel_2&gt;",Uebersetzungen!$B$4:$E$303,Uebersetzungen!$B$2+1,FALSE)</f>
        <v>November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VLOOKUP("&lt;T11SpaltenTitel_5&gt;",Uebersetzungen!$B$4:$E$303,Uebersetzungen!$B$2+1,FALSE)</f>
        <v>Januar-November 24</v>
      </c>
      <c r="H42" s="22" t="str">
        <f>VLOOKUP("&lt;T11SpaltenTitel_6&gt;",Uebersetzungen!$B$4:$E$303,Uebersetzungen!$B$2+1,FALSE)</f>
        <v>Januar-November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VLOOKUP("&lt;T11Titel3&gt;",Uebersetzungen!$B$4:$E$303,Uebersetzungen!$B$2+1,FALSE)</f>
        <v>Hotel- und Kurbetriebe: Logiernächte im November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VLOOKUP("&lt;T11SpaltenTitel_1&gt;",Uebersetzungen!$B$4:$E$303,Uebersetzungen!$B$2+1,FALSE)</f>
        <v>November 2024</v>
      </c>
      <c r="D69" s="21" t="str">
        <f>VLOOKUP("&lt;T11SpaltenTitel_2&gt;",Uebersetzungen!$B$4:$E$303,Uebersetzungen!$B$2+1,FALSE)</f>
        <v>November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VLOOKUP("&lt;T11SpaltenTitel_5&gt;",Uebersetzungen!$B$4:$E$303,Uebersetzungen!$B$2+1,FALSE)</f>
        <v>Januar-November 24</v>
      </c>
      <c r="H69" s="22" t="str">
        <f>VLOOKUP("&lt;T11SpaltenTitel_6&gt;",Uebersetzungen!$B$4:$E$303,Uebersetzungen!$B$2+1,FALSE)</f>
        <v>Januar-November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VLOOKUP("&lt;T11Aktualisierung&gt;",Uebersetzungen!$B$4:$E$303,Uebersetzungen!$B$2+1,FALSE)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VLOOKUP("&lt;T11Legende_3&gt;",Uebersetzungen!$B$4:$E$303,Uebersetzungen!$B$2+1,FALSE)</f>
        <v>Daten des Dezember 2023 erscheinen am 22. Februar 2024.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J90"/>
  <sheetViews>
    <sheetView topLeftCell="A49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VLOOKUP("&lt;T10Titel1&gt;",Uebersetzungen!$B$4:$E$303,Uebersetzungen!$B$2+1,FALSE)</f>
        <v>Hotel- und Kurbetriebe: Logiernächte im Oktober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VLOOKUP("&lt;T10SpaltenTitel_1&gt;",Uebersetzungen!$B$4:$E$303,Uebersetzungen!$B$2+1,FALSE)</f>
        <v>Oktober 2024</v>
      </c>
      <c r="D12" s="21" t="str">
        <f>VLOOKUP("&lt;T10SpaltenTitel_2&gt;",Uebersetzungen!$B$4:$E$303,Uebersetzungen!$B$2+1,FALSE)</f>
        <v>Oktober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VLOOKUP("&lt;T10SpaltenTitel_5&gt;",Uebersetzungen!$B$4:$E$303,Uebersetzungen!$B$2+1,FALSE)</f>
        <v>Januar-Oktober 24</v>
      </c>
      <c r="H12" s="22" t="str">
        <f>VLOOKUP("&lt;T10SpaltenTitel_6&gt;",Uebersetzungen!$B$4:$E$303,Uebersetzungen!$B$2+1,FALSE)</f>
        <v>Januar-Oktober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VLOOKUP("&lt;T10Titel2&gt;",Uebersetzungen!$B$4:$E$303,Uebersetzungen!$B$2+1,FALSE)</f>
        <v>Hotel- und Kurbetriebe: Logiernächte im Oktober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VLOOKUP("&lt;T10SpaltenTitel_1&gt;",Uebersetzungen!$B$4:$E$303,Uebersetzungen!$B$2+1,FALSE)</f>
        <v>Oktober 2024</v>
      </c>
      <c r="D42" s="21" t="str">
        <f>VLOOKUP("&lt;T10SpaltenTitel_2&gt;",Uebersetzungen!$B$4:$E$303,Uebersetzungen!$B$2+1,FALSE)</f>
        <v>Oktober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VLOOKUP("&lt;T10SpaltenTitel_5&gt;",Uebersetzungen!$B$4:$E$303,Uebersetzungen!$B$2+1,FALSE)</f>
        <v>Januar-Oktober 24</v>
      </c>
      <c r="H42" s="22" t="str">
        <f>VLOOKUP("&lt;T10SpaltenTitel_6&gt;",Uebersetzungen!$B$4:$E$303,Uebersetzungen!$B$2+1,FALSE)</f>
        <v>Januar-Oktober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VLOOKUP("&lt;T10Titel3&gt;",Uebersetzungen!$B$4:$E$303,Uebersetzungen!$B$2+1,FALSE)</f>
        <v>Hotel- und Kurbetriebe: Logiernächte im Oktober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VLOOKUP("&lt;T10SpaltenTitel_1&gt;",Uebersetzungen!$B$4:$E$303,Uebersetzungen!$B$2+1,FALSE)</f>
        <v>Oktober 2024</v>
      </c>
      <c r="D69" s="21" t="str">
        <f>VLOOKUP("&lt;T10SpaltenTitel_2&gt;",Uebersetzungen!$B$4:$E$303,Uebersetzungen!$B$2+1,FALSE)</f>
        <v>Oktober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VLOOKUP("&lt;T10SpaltenTitel_5&gt;",Uebersetzungen!$B$4:$E$303,Uebersetzungen!$B$2+1,FALSE)</f>
        <v>Januar-Oktober 24</v>
      </c>
      <c r="H69" s="22" t="str">
        <f>VLOOKUP("&lt;T10SpaltenTitel_6&gt;",Uebersetzungen!$B$4:$E$303,Uebersetzungen!$B$2+1,FALSE)</f>
        <v>Januar-Oktober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VLOOKUP("&lt;T10Aktualisierung&gt;",Uebersetzungen!$B$4:$E$303,Uebersetzungen!$B$2+1,FALSE)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VLOOKUP("&lt;T10Legende_3&gt;",Uebersetzungen!$B$4:$E$303,Uebersetzungen!$B$2+1,FALSE)</f>
        <v>Daten des November 2023 erscheinen am 16. Januar 2024.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J90"/>
  <sheetViews>
    <sheetView topLeftCell="A31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VLOOKUP("&lt;T9Titel1&gt;",Uebersetzungen!$B$4:$E$303,Uebersetzungen!$B$2+1,FALSE)</f>
        <v>Hotel- und Kurbetriebe: Logiernächte im September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VLOOKUP("&lt;T9SpaltenTitel_1&gt;",Uebersetzungen!$B$4:$E$303,Uebersetzungen!$B$2+1,FALSE)</f>
        <v>September 2024</v>
      </c>
      <c r="D12" s="21" t="str">
        <f>VLOOKUP("&lt;T9SpaltenTitel_2&gt;",Uebersetzungen!$B$4:$E$303,Uebersetzungen!$B$2+1,FALSE)</f>
        <v>September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VLOOKUP("&lt;T9SpaltenTitel_5&gt;",Uebersetzungen!$B$4:$E$303,Uebersetzungen!$B$2+1,FALSE)</f>
        <v>Januar-September 24</v>
      </c>
      <c r="H12" s="22" t="str">
        <f>VLOOKUP("&lt;T9SpaltenTitel_6&gt;",Uebersetzungen!$B$4:$E$303,Uebersetzungen!$B$2+1,FALSE)</f>
        <v>Januar-September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VLOOKUP("&lt;T9Titel2&gt;",Uebersetzungen!$B$4:$E$303,Uebersetzungen!$B$2+1,FALSE)</f>
        <v>Hotel- und Kurbetriebe: Logiernächte im September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VLOOKUP("&lt;T9SpaltenTitel_1&gt;",Uebersetzungen!$B$4:$E$303,Uebersetzungen!$B$2+1,FALSE)</f>
        <v>September 2024</v>
      </c>
      <c r="D42" s="21" t="str">
        <f>VLOOKUP("&lt;T9SpaltenTitel_2&gt;",Uebersetzungen!$B$4:$E$303,Uebersetzungen!$B$2+1,FALSE)</f>
        <v>September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VLOOKUP("&lt;T9SpaltenTitel_5&gt;",Uebersetzungen!$B$4:$E$303,Uebersetzungen!$B$2+1,FALSE)</f>
        <v>Januar-September 24</v>
      </c>
      <c r="H42" s="22" t="str">
        <f>VLOOKUP("&lt;T9SpaltenTitel_6&gt;",Uebersetzungen!$B$4:$E$303,Uebersetzungen!$B$2+1,FALSE)</f>
        <v>Januar-September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VLOOKUP("&lt;T9Titel3&gt;",Uebersetzungen!$B$4:$E$303,Uebersetzungen!$B$2+1,FALSE)</f>
        <v>Hotel- und Kurbetriebe: Logiernächte im September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VLOOKUP("&lt;T9SpaltenTitel_1&gt;",Uebersetzungen!$B$4:$E$303,Uebersetzungen!$B$2+1,FALSE)</f>
        <v>September 2024</v>
      </c>
      <c r="D69" s="21" t="str">
        <f>VLOOKUP("&lt;T9SpaltenTitel_2&gt;",Uebersetzungen!$B$4:$E$303,Uebersetzungen!$B$2+1,FALSE)</f>
        <v>September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VLOOKUP("&lt;T9SpaltenTitel_5&gt;",Uebersetzungen!$B$4:$E$303,Uebersetzungen!$B$2+1,FALSE)</f>
        <v>Januar-September 24</v>
      </c>
      <c r="H69" s="22" t="str">
        <f>VLOOKUP("&lt;T9SpaltenTitel_6&gt;",Uebersetzungen!$B$4:$E$303,Uebersetzungen!$B$2+1,FALSE)</f>
        <v>Januar-September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VLOOKUP("&lt;T9Aktualisierung&gt;",Uebersetzungen!$B$4:$E$303,Uebersetzungen!$B$2+1,FALSE)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VLOOKUP("&lt;T9Legende_3&gt;",Uebersetzungen!$B$4:$E$303,Uebersetzungen!$B$2+1,FALSE)</f>
        <v>Daten des Oktober 2023 erscheinen am 5. Dezember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J90"/>
  <sheetViews>
    <sheetView topLeftCell="A43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VLOOKUP("&lt;T8Titel1&gt;",Uebersetzungen!$B$4:$E$303,Uebersetzungen!$B$2+1,FALSE)</f>
        <v>Hotel- und Kurbetriebe: Logiernächte im August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VLOOKUP("&lt;T8SpaltenTitel_1&gt;",Uebersetzungen!$B$4:$E$303,Uebersetzungen!$B$2+1,FALSE)</f>
        <v>August 2024</v>
      </c>
      <c r="D12" s="21" t="str">
        <f>VLOOKUP("&lt;T8SpaltenTitel_2&gt;",Uebersetzungen!$B$4:$E$303,Uebersetzungen!$B$2+1,FALSE)</f>
        <v>August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VLOOKUP("&lt;T8SpaltenTitel_5&gt;",Uebersetzungen!$B$4:$E$303,Uebersetzungen!$B$2+1,FALSE)</f>
        <v>Januar-August 24</v>
      </c>
      <c r="H12" s="22" t="str">
        <f>VLOOKUP("&lt;T8SpaltenTitel_6&gt;",Uebersetzungen!$B$4:$E$303,Uebersetzungen!$B$2+1,FALSE)</f>
        <v>Januar-August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VLOOKUP("&lt;T8Titel2&gt;",Uebersetzungen!$B$4:$E$303,Uebersetzungen!$B$2+1,FALSE)</f>
        <v>Hotel- und Kurbetriebe: Logiernächte im August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VLOOKUP("&lt;T8SpaltenTitel_1&gt;",Uebersetzungen!$B$4:$E$303,Uebersetzungen!$B$2+1,FALSE)</f>
        <v>August 2024</v>
      </c>
      <c r="D42" s="21" t="str">
        <f>VLOOKUP("&lt;T8SpaltenTitel_2&gt;",Uebersetzungen!$B$4:$E$303,Uebersetzungen!$B$2+1,FALSE)</f>
        <v>August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VLOOKUP("&lt;T8SpaltenTitel_5&gt;",Uebersetzungen!$B$4:$E$303,Uebersetzungen!$B$2+1,FALSE)</f>
        <v>Januar-August 24</v>
      </c>
      <c r="H42" s="22" t="str">
        <f>VLOOKUP("&lt;T8SpaltenTitel_6&gt;",Uebersetzungen!$B$4:$E$303,Uebersetzungen!$B$2+1,FALSE)</f>
        <v>Januar-August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VLOOKUP("&lt;T8Titel3&gt;",Uebersetzungen!$B$4:$E$303,Uebersetzungen!$B$2+1,FALSE)</f>
        <v>Hotel- und Kurbetriebe: Logiernächte im August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VLOOKUP("&lt;T8SpaltenTitel_1&gt;",Uebersetzungen!$B$4:$E$303,Uebersetzungen!$B$2+1,FALSE)</f>
        <v>August 2024</v>
      </c>
      <c r="D69" s="21" t="str">
        <f>VLOOKUP("&lt;T8SpaltenTitel_2&gt;",Uebersetzungen!$B$4:$E$303,Uebersetzungen!$B$2+1,FALSE)</f>
        <v>August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VLOOKUP("&lt;T8SpaltenTitel_5&gt;",Uebersetzungen!$B$4:$E$303,Uebersetzungen!$B$2+1,FALSE)</f>
        <v>Januar-August 24</v>
      </c>
      <c r="H69" s="22" t="str">
        <f>VLOOKUP("&lt;T8SpaltenTitel_6&gt;",Uebersetzungen!$B$4:$E$303,Uebersetzungen!$B$2+1,FALSE)</f>
        <v>Januar-August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VLOOKUP("&lt;T8Aktualisierung&gt;",Uebersetzungen!$B$4:$E$303,Uebersetzungen!$B$2+1,FALSE)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VLOOKUP("&lt;T8Legende_3&gt;",Uebersetzungen!$B$4:$E$303,Uebersetzungen!$B$2+1,FALSE)</f>
        <v>Daten des September 2023 erscheinen am 3. November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J90"/>
  <sheetViews>
    <sheetView topLeftCell="A37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VLOOKUP("&lt;T7Titel1&gt;",Uebersetzungen!$B$4:$E$303,Uebersetzungen!$B$2+1,FALSE)</f>
        <v>Hotel- und Kurbetriebe: Logiernächte im Juli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VLOOKUP("&lt;T7SpaltenTitel_1&gt;",Uebersetzungen!$B$4:$E$303,Uebersetzungen!$B$2+1,FALSE)</f>
        <v>Juli 2024</v>
      </c>
      <c r="D12" s="21" t="str">
        <f>VLOOKUP("&lt;T7SpaltenTitel_2&gt;",Uebersetzungen!$B$4:$E$303,Uebersetzungen!$B$2+1,FALSE)</f>
        <v>Juli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VLOOKUP("&lt;T7SpaltenTitel_5&gt;",Uebersetzungen!$B$4:$E$303,Uebersetzungen!$B$2+1,FALSE)</f>
        <v>Januar-Juli 24</v>
      </c>
      <c r="H12" s="22" t="str">
        <f>VLOOKUP("&lt;T7SpaltenTitel_6&gt;",Uebersetzungen!$B$4:$E$303,Uebersetzungen!$B$2+1,FALSE)</f>
        <v>Januar-Juli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VLOOKUP("&lt;T7Titel2&gt;",Uebersetzungen!$B$4:$E$303,Uebersetzungen!$B$2+1,FALSE)</f>
        <v>Hotel- und Kurbetriebe: Logiernächte im Juli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VLOOKUP("&lt;T7SpaltenTitel_1&gt;",Uebersetzungen!$B$4:$E$303,Uebersetzungen!$B$2+1,FALSE)</f>
        <v>Juli 2024</v>
      </c>
      <c r="D42" s="21" t="str">
        <f>VLOOKUP("&lt;T7SpaltenTitel_2&gt;",Uebersetzungen!$B$4:$E$303,Uebersetzungen!$B$2+1,FALSE)</f>
        <v>Juli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VLOOKUP("&lt;T7SpaltenTitel_5&gt;",Uebersetzungen!$B$4:$E$303,Uebersetzungen!$B$2+1,FALSE)</f>
        <v>Januar-Juli 24</v>
      </c>
      <c r="H42" s="22" t="str">
        <f>VLOOKUP("&lt;T7SpaltenTitel_6&gt;",Uebersetzungen!$B$4:$E$303,Uebersetzungen!$B$2+1,FALSE)</f>
        <v>Januar-Juli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VLOOKUP("&lt;T7Titel3&gt;",Uebersetzungen!$B$4:$E$303,Uebersetzungen!$B$2+1,FALSE)</f>
        <v>Hotel- und Kurbetriebe: Logiernächte im Juli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VLOOKUP("&lt;T7SpaltenTitel_1&gt;",Uebersetzungen!$B$4:$E$303,Uebersetzungen!$B$2+1,FALSE)</f>
        <v>Juli 2024</v>
      </c>
      <c r="D69" s="21" t="str">
        <f>VLOOKUP("&lt;T7SpaltenTitel_2&gt;",Uebersetzungen!$B$4:$E$303,Uebersetzungen!$B$2+1,FALSE)</f>
        <v>Juli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VLOOKUP("&lt;T7SpaltenTitel_5&gt;",Uebersetzungen!$B$4:$E$303,Uebersetzungen!$B$2+1,FALSE)</f>
        <v>Januar-Juli 24</v>
      </c>
      <c r="H69" s="22" t="str">
        <f>VLOOKUP("&lt;T7SpaltenTitel_6&gt;",Uebersetzungen!$B$4:$E$303,Uebersetzungen!$B$2+1,FALSE)</f>
        <v>Januar-Juli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VLOOKUP("&lt;T7Aktualisierung&gt;",Uebersetzungen!$B$4:$E$303,Uebersetzungen!$B$2+1,FALSE)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VLOOKUP("&lt;T7Legende_3&gt;",Uebersetzungen!$B$4:$E$303,Uebersetzungen!$B$2+1,FALSE)</f>
        <v>Daten des August 2023 erscheinen am 5. Oktober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90"/>
  <sheetViews>
    <sheetView topLeftCell="A40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VLOOKUP("&lt;T6Titel1&gt;",Uebersetzungen!$B$4:$E$303,Uebersetzungen!$B$2+1,FALSE)</f>
        <v>Hotel- und Kurbetriebe: Logiernächte im Juni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VLOOKUP("&lt;T6SpaltenTitel_1&gt;",Uebersetzungen!$B$4:$E$303,Uebersetzungen!$B$2+1,FALSE)</f>
        <v>Juni 2024</v>
      </c>
      <c r="D12" s="21" t="str">
        <f>VLOOKUP("&lt;T6SpaltenTitel_2&gt;",Uebersetzungen!$B$4:$E$303,Uebersetzungen!$B$2+1,FALSE)</f>
        <v>Juni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VLOOKUP("&lt;T6SpaltenTitel_5&gt;",Uebersetzungen!$B$4:$E$303,Uebersetzungen!$B$2+1,FALSE)</f>
        <v>Januar-Juni 24</v>
      </c>
      <c r="H12" s="22" t="str">
        <f>VLOOKUP("&lt;T6SpaltenTitel_6&gt;",Uebersetzungen!$B$4:$E$303,Uebersetzungen!$B$2+1,FALSE)</f>
        <v>Januar-Juni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VLOOKUP("&lt;T6Titel2&gt;",Uebersetzungen!$B$4:$E$303,Uebersetzungen!$B$2+1,FALSE)</f>
        <v>Hotel- und Kurbetriebe: Logiernächte im Juni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VLOOKUP("&lt;T6SpaltenTitel_1&gt;",Uebersetzungen!$B$4:$E$303,Uebersetzungen!$B$2+1,FALSE)</f>
        <v>Juni 2024</v>
      </c>
      <c r="D42" s="21" t="str">
        <f>VLOOKUP("&lt;T6SpaltenTitel_2&gt;",Uebersetzungen!$B$4:$E$303,Uebersetzungen!$B$2+1,FALSE)</f>
        <v>Juni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VLOOKUP("&lt;T6SpaltenTitel_5&gt;",Uebersetzungen!$B$4:$E$303,Uebersetzungen!$B$2+1,FALSE)</f>
        <v>Januar-Juni 24</v>
      </c>
      <c r="H42" s="22" t="str">
        <f>VLOOKUP("&lt;T6SpaltenTitel_6&gt;",Uebersetzungen!$B$4:$E$303,Uebersetzungen!$B$2+1,FALSE)</f>
        <v>Januar-Juni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VLOOKUP("&lt;T6Titel3&gt;",Uebersetzungen!$B$4:$E$303,Uebersetzungen!$B$2+1,FALSE)</f>
        <v>Hotel- und Kurbetriebe: Logiernächte im Juni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VLOOKUP("&lt;T6SpaltenTitel_1&gt;",Uebersetzungen!$B$4:$E$303,Uebersetzungen!$B$2+1,FALSE)</f>
        <v>Juni 2024</v>
      </c>
      <c r="D69" s="21" t="str">
        <f>VLOOKUP("&lt;T6SpaltenTitel_2&gt;",Uebersetzungen!$B$4:$E$303,Uebersetzungen!$B$2+1,FALSE)</f>
        <v>Juni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VLOOKUP("&lt;T6SpaltenTitel_5&gt;",Uebersetzungen!$B$4:$E$303,Uebersetzungen!$B$2+1,FALSE)</f>
        <v>Januar-Juni 24</v>
      </c>
      <c r="H69" s="22" t="str">
        <f>VLOOKUP("&lt;T6SpaltenTitel_6&gt;",Uebersetzungen!$B$4:$E$303,Uebersetzungen!$B$2+1,FALSE)</f>
        <v>Januar-Juni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VLOOKUP("&lt;T6Aktualisierung&gt;",Uebersetzungen!$B$4:$E$303,Uebersetzungen!$B$2+1,FALSE)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VLOOKUP("&lt;T6Legende_3&gt;",Uebersetzungen!$B$4:$E$303,Uebersetzungen!$B$2+1,FALSE)</f>
        <v>Daten des Juli 2023 erscheinen am 5. September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J90"/>
  <sheetViews>
    <sheetView topLeftCell="A46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VLOOKUP("&lt;T5Titel1&gt;",Uebersetzungen!$B$4:$E$303,Uebersetzungen!$B$2+1,FALSE)</f>
        <v>Hotel- und Kurbetriebe: Logiernächte im Mai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VLOOKUP("&lt;T5SpaltenTitel_1&gt;",Uebersetzungen!$B$4:$E$303,Uebersetzungen!$B$2+1,FALSE)</f>
        <v>Mai 2024</v>
      </c>
      <c r="D12" s="21" t="str">
        <f>VLOOKUP("&lt;T5SpaltenTitel_2&gt;",Uebersetzungen!$B$4:$E$303,Uebersetzungen!$B$2+1,FALSE)</f>
        <v>Mai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VLOOKUP("&lt;T5SpaltenTitel_5&gt;",Uebersetzungen!$B$4:$E$303,Uebersetzungen!$B$2+1,FALSE)</f>
        <v>Januar-Mai 24</v>
      </c>
      <c r="H12" s="22" t="str">
        <f>VLOOKUP("&lt;T5SpaltenTitel_6&gt;",Uebersetzungen!$B$4:$E$303,Uebersetzungen!$B$2+1,FALSE)</f>
        <v>Januar-Mai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VLOOKUP("&lt;T5Titel2&gt;",Uebersetzungen!$B$4:$E$303,Uebersetzungen!$B$2+1,FALSE)</f>
        <v>Hotel- und Kurbetriebe: Logiernächte im Mai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VLOOKUP("&lt;T5SpaltenTitel_1&gt;",Uebersetzungen!$B$4:$E$303,Uebersetzungen!$B$2+1,FALSE)</f>
        <v>Mai 2024</v>
      </c>
      <c r="D42" s="21" t="str">
        <f>VLOOKUP("&lt;T5SpaltenTitel_2&gt;",Uebersetzungen!$B$4:$E$303,Uebersetzungen!$B$2+1,FALSE)</f>
        <v>Mai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VLOOKUP("&lt;T5SpaltenTitel_5&gt;",Uebersetzungen!$B$4:$E$303,Uebersetzungen!$B$2+1,FALSE)</f>
        <v>Januar-Mai 24</v>
      </c>
      <c r="H42" s="22" t="str">
        <f>VLOOKUP("&lt;T5SpaltenTitel_6&gt;",Uebersetzungen!$B$4:$E$303,Uebersetzungen!$B$2+1,FALSE)</f>
        <v>Januar-Mai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VLOOKUP("&lt;T5Titel3&gt;",Uebersetzungen!$B$4:$E$303,Uebersetzungen!$B$2+1,FALSE)</f>
        <v>Hotel- und Kurbetriebe: Logiernächte im Mai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VLOOKUP("&lt;T5SpaltenTitel_1&gt;",Uebersetzungen!$B$4:$E$303,Uebersetzungen!$B$2+1,FALSE)</f>
        <v>Mai 2024</v>
      </c>
      <c r="D69" s="21" t="str">
        <f>VLOOKUP("&lt;T5SpaltenTitel_2&gt;",Uebersetzungen!$B$4:$E$303,Uebersetzungen!$B$2+1,FALSE)</f>
        <v>Mai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VLOOKUP("&lt;T5SpaltenTitel_5&gt;",Uebersetzungen!$B$4:$E$303,Uebersetzungen!$B$2+1,FALSE)</f>
        <v>Januar-Mai 24</v>
      </c>
      <c r="H69" s="22" t="str">
        <f>VLOOKUP("&lt;T5SpaltenTitel_6&gt;",Uebersetzungen!$B$4:$E$303,Uebersetzungen!$B$2+1,FALSE)</f>
        <v>Januar-Mai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VLOOKUP("&lt;T5Aktualisierung&gt;",Uebersetzungen!$B$4:$E$303,Uebersetzungen!$B$2+1,FALSE)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VLOOKUP("&lt;T5Legende_3&gt;",Uebersetzungen!$B$4:$E$303,Uebersetzungen!$B$2+1,FALSE)</f>
        <v>Daten des Juni 2023 erscheinen am 4. August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J90"/>
  <sheetViews>
    <sheetView topLeftCell="A31" zoomScaleNormal="100" workbookViewId="0">
      <selection activeCell="A67" sqref="A67:XFD67"/>
    </sheetView>
  </sheetViews>
  <sheetFormatPr baseColWidth="10" defaultColWidth="11.42578125" defaultRowHeight="12.75" x14ac:dyDescent="0.2"/>
  <cols>
    <col min="1" max="1" width="12.140625" style="4" customWidth="1"/>
    <col min="2" max="2" width="22.42578125" style="4" customWidth="1"/>
    <col min="3" max="10" width="13.42578125" style="4" customWidth="1"/>
    <col min="11" max="16384" width="11.42578125" style="4"/>
  </cols>
  <sheetData>
    <row r="1" spans="1:10" s="68" customFormat="1" x14ac:dyDescent="0.2"/>
    <row r="2" spans="1:10" s="68" customFormat="1" ht="15.75" x14ac:dyDescent="0.25">
      <c r="B2" s="69"/>
      <c r="C2" s="4"/>
      <c r="D2" s="4"/>
    </row>
    <row r="3" spans="1:10" s="68" customFormat="1" ht="15.75" x14ac:dyDescent="0.25">
      <c r="B3" s="69"/>
      <c r="C3" s="4"/>
      <c r="D3" s="4"/>
    </row>
    <row r="4" spans="1:10" s="68" customFormat="1" ht="15.75" x14ac:dyDescent="0.25">
      <c r="B4" s="69"/>
      <c r="C4" s="4"/>
      <c r="D4" s="4"/>
    </row>
    <row r="5" spans="1:10" s="68" customFormat="1" x14ac:dyDescent="0.2"/>
    <row r="6" spans="1:10" s="68" customFormat="1" x14ac:dyDescent="0.2"/>
    <row r="7" spans="1:10" ht="15.75" customHeight="1" x14ac:dyDescent="0.2">
      <c r="A7" s="124" t="str">
        <f>VLOOKUP("&lt;Fachbereich&gt;",Uebersetzungen!$B$4:$E$303,Uebersetzungen!$B$2+1,FALSE)</f>
        <v>Daten &amp; Statistik</v>
      </c>
      <c r="B7" s="124"/>
      <c r="C7" s="124"/>
      <c r="D7" s="124"/>
      <c r="E7" s="95"/>
      <c r="F7" s="1"/>
    </row>
    <row r="8" spans="1:10" ht="10.5" customHeight="1" x14ac:dyDescent="0.2"/>
    <row r="9" spans="1:10" ht="18" x14ac:dyDescent="0.25">
      <c r="A9" s="2" t="str">
        <f>VLOOKUP("&lt;T4Titel1&gt;",Uebersetzungen!$B$4:$E$303,Uebersetzungen!$B$2+1,FALSE)</f>
        <v>Hotel- und Kurbetriebe: Logiernächte im April 2024, nach Herkunft</v>
      </c>
      <c r="B9" s="3"/>
      <c r="C9" s="3"/>
      <c r="D9" s="3"/>
      <c r="E9" s="3"/>
      <c r="F9" s="3"/>
    </row>
    <row r="10" spans="1:10" s="123" customFormat="1" x14ac:dyDescent="0.2">
      <c r="A10" s="120" t="str">
        <f>VLOOKUP("&lt;Titelprov&gt;",Uebersetzungen!$B$4:$E$303,Uebersetzungen!$B$2+1,FALSE)</f>
        <v>provisorische Ergebnisse</v>
      </c>
      <c r="B10" s="121"/>
      <c r="C10" s="122"/>
      <c r="D10" s="122"/>
      <c r="E10" s="122"/>
      <c r="F10" s="122"/>
      <c r="G10" s="122"/>
    </row>
    <row r="11" spans="1:10" ht="13.5" thickBot="1" x14ac:dyDescent="0.25"/>
    <row r="12" spans="1:10" ht="51" x14ac:dyDescent="0.2">
      <c r="A12" s="8"/>
      <c r="B12" s="9"/>
      <c r="C12" s="20" t="str">
        <f>VLOOKUP("&lt;T4SpaltenTitel_1&gt;",Uebersetzungen!$B$4:$E$303,Uebersetzungen!$B$2+1,FALSE)</f>
        <v>April 2024</v>
      </c>
      <c r="D12" s="21" t="str">
        <f>VLOOKUP("&lt;T4SpaltenTitel_2&gt;",Uebersetzungen!$B$4:$E$303,Uebersetzungen!$B$2+1,FALSE)</f>
        <v>April 2023</v>
      </c>
      <c r="E12" s="22" t="str">
        <f>VLOOKUP("&lt;SpaltenTitel_3&gt;",Uebersetzungen!$B$4:$E$303,Uebersetzungen!$B$2+1,FALSE)</f>
        <v>Veränderung 24/23 in %</v>
      </c>
      <c r="F12" s="22" t="str">
        <f>VLOOKUP("&lt;SpaltenTitel_4&gt;",Uebersetzungen!$B$4:$E$303,Uebersetzungen!$B$2+1,FALSE)</f>
        <v>Veränderung zum
5-Jahresmittel 
in %</v>
      </c>
      <c r="G12" s="75" t="str">
        <f>VLOOKUP("&lt;T4SpaltenTitel_5&gt;",Uebersetzungen!$B$4:$E$303,Uebersetzungen!$B$2+1,FALSE)</f>
        <v>Januar-April 24</v>
      </c>
      <c r="H12" s="22" t="str">
        <f>VLOOKUP("&lt;T4SpaltenTitel_6&gt;",Uebersetzungen!$B$4:$E$303,Uebersetzungen!$B$2+1,FALSE)</f>
        <v>Januar-April 23</v>
      </c>
      <c r="I12" s="22" t="str">
        <f>VLOOKUP("&lt;SpaltenTitel_7&gt;",Uebersetzungen!$B$4:$E$303,Uebersetzungen!$B$2+1,FALSE)</f>
        <v>Veränderung 24/23 in %</v>
      </c>
      <c r="J12" s="23" t="str">
        <f>VLOOKUP("&lt;SpaltenTitel_8&gt;",Uebersetzungen!$B$4:$E$303,Uebersetzungen!$B$2+1,FALSE)</f>
        <v>Veränderung zum
5-Jahresmittel 
in %</v>
      </c>
    </row>
    <row r="13" spans="1:10" x14ac:dyDescent="0.2">
      <c r="A13" s="24" t="str">
        <f>VLOOKUP("&lt;Zeilentitel_1&gt;",Uebersetzungen!$B$4:$E$77,Uebersetzungen!$B$2+1,FALSE)</f>
        <v>Schweiz</v>
      </c>
      <c r="B13" s="5"/>
      <c r="C13" s="51"/>
      <c r="D13" s="52"/>
      <c r="E13" s="53" t="e">
        <f t="shared" ref="E13:E36" si="0">C13/D13-1</f>
        <v>#DIV/0!</v>
      </c>
      <c r="F13" s="72"/>
      <c r="G13" s="76"/>
      <c r="H13" s="52"/>
      <c r="I13" s="53" t="e">
        <f t="shared" ref="I13:I36" si="1">G13/H13-1</f>
        <v>#DIV/0!</v>
      </c>
      <c r="J13" s="54"/>
    </row>
    <row r="14" spans="1:10" x14ac:dyDescent="0.2">
      <c r="A14" s="24" t="str">
        <f>VLOOKUP("&lt;Zeilentitel_2&gt;",Uebersetzungen!$B$4:$E$77,Uebersetzungen!$B$2+1,FALSE)</f>
        <v>Deutschland</v>
      </c>
      <c r="B14" s="5"/>
      <c r="C14" s="51"/>
      <c r="D14" s="52"/>
      <c r="E14" s="53" t="e">
        <f t="shared" si="0"/>
        <v>#DIV/0!</v>
      </c>
      <c r="F14" s="72"/>
      <c r="G14" s="76"/>
      <c r="H14" s="52"/>
      <c r="I14" s="53" t="e">
        <f t="shared" si="1"/>
        <v>#DIV/0!</v>
      </c>
      <c r="J14" s="54"/>
    </row>
    <row r="15" spans="1:10" x14ac:dyDescent="0.2">
      <c r="A15" s="24" t="str">
        <f>VLOOKUP("&lt;Zeilentitel_3&gt;",Uebersetzungen!$B$4:$E$77,Uebersetzungen!$B$2+1,FALSE)</f>
        <v>Italien</v>
      </c>
      <c r="B15" s="5"/>
      <c r="C15" s="51"/>
      <c r="D15" s="52"/>
      <c r="E15" s="53" t="e">
        <f t="shared" si="0"/>
        <v>#DIV/0!</v>
      </c>
      <c r="F15" s="72"/>
      <c r="G15" s="76"/>
      <c r="H15" s="52"/>
      <c r="I15" s="53" t="e">
        <f t="shared" si="1"/>
        <v>#DIV/0!</v>
      </c>
      <c r="J15" s="54"/>
    </row>
    <row r="16" spans="1:10" x14ac:dyDescent="0.2">
      <c r="A16" s="24" t="str">
        <f>VLOOKUP("&lt;Zeilentitel_4&gt;",Uebersetzungen!$B$4:$E$77,Uebersetzungen!$B$2+1,FALSE)</f>
        <v>Frankreich</v>
      </c>
      <c r="B16" s="5"/>
      <c r="C16" s="51"/>
      <c r="D16" s="52"/>
      <c r="E16" s="53" t="e">
        <f t="shared" si="0"/>
        <v>#DIV/0!</v>
      </c>
      <c r="F16" s="72"/>
      <c r="G16" s="76"/>
      <c r="H16" s="52"/>
      <c r="I16" s="53" t="e">
        <f t="shared" si="1"/>
        <v>#DIV/0!</v>
      </c>
      <c r="J16" s="54"/>
    </row>
    <row r="17" spans="1:10" x14ac:dyDescent="0.2">
      <c r="A17" s="24" t="str">
        <f>VLOOKUP("&lt;Zeilentitel_5&gt;",Uebersetzungen!$B$4:$E$77,Uebersetzungen!$B$2+1,FALSE)</f>
        <v>Österreich</v>
      </c>
      <c r="B17" s="5"/>
      <c r="C17" s="51"/>
      <c r="D17" s="52"/>
      <c r="E17" s="53" t="e">
        <f t="shared" si="0"/>
        <v>#DIV/0!</v>
      </c>
      <c r="F17" s="72"/>
      <c r="G17" s="76"/>
      <c r="H17" s="52"/>
      <c r="I17" s="53" t="e">
        <f t="shared" si="1"/>
        <v>#DIV/0!</v>
      </c>
      <c r="J17" s="54"/>
    </row>
    <row r="18" spans="1:10" x14ac:dyDescent="0.2">
      <c r="A18" s="24" t="str">
        <f>VLOOKUP("&lt;Zeilentitel_6&gt;",Uebersetzungen!$B$4:$E$77,Uebersetzungen!$B$2+1,FALSE)</f>
        <v>Niederlande</v>
      </c>
      <c r="B18" s="5"/>
      <c r="C18" s="51"/>
      <c r="D18" s="52"/>
      <c r="E18" s="53" t="e">
        <f t="shared" si="0"/>
        <v>#DIV/0!</v>
      </c>
      <c r="F18" s="72"/>
      <c r="G18" s="76"/>
      <c r="H18" s="52"/>
      <c r="I18" s="53" t="e">
        <f t="shared" si="1"/>
        <v>#DIV/0!</v>
      </c>
      <c r="J18" s="54"/>
    </row>
    <row r="19" spans="1:10" x14ac:dyDescent="0.2">
      <c r="A19" s="24" t="str">
        <f>VLOOKUP("&lt;Zeilentitel_7&gt;",Uebersetzungen!$B$4:$E$77,Uebersetzungen!$B$2+1,FALSE)</f>
        <v>Belgien</v>
      </c>
      <c r="B19" s="5"/>
      <c r="C19" s="51"/>
      <c r="D19" s="52"/>
      <c r="E19" s="53" t="e">
        <f t="shared" si="0"/>
        <v>#DIV/0!</v>
      </c>
      <c r="F19" s="72"/>
      <c r="G19" s="76"/>
      <c r="H19" s="52"/>
      <c r="I19" s="53" t="e">
        <f t="shared" si="1"/>
        <v>#DIV/0!</v>
      </c>
      <c r="J19" s="54"/>
    </row>
    <row r="20" spans="1:10" x14ac:dyDescent="0.2">
      <c r="A20" s="24" t="str">
        <f>VLOOKUP("&lt;Zeilentitel_8&gt;",Uebersetzungen!$B$4:$E$77,Uebersetzungen!$B$2+1,FALSE)</f>
        <v>Luxemburg</v>
      </c>
      <c r="B20" s="5"/>
      <c r="C20" s="51"/>
      <c r="D20" s="52"/>
      <c r="E20" s="53" t="e">
        <f t="shared" si="0"/>
        <v>#DIV/0!</v>
      </c>
      <c r="F20" s="72"/>
      <c r="G20" s="76"/>
      <c r="H20" s="52"/>
      <c r="I20" s="53" t="e">
        <f t="shared" si="1"/>
        <v>#DIV/0!</v>
      </c>
      <c r="J20" s="54"/>
    </row>
    <row r="21" spans="1:10" x14ac:dyDescent="0.2">
      <c r="A21" s="24" t="str">
        <f>VLOOKUP("&lt;Zeilentitel_9&gt;",Uebersetzungen!$B$4:$E$77,Uebersetzungen!$B$2+1,FALSE)</f>
        <v>Vereinigtes Königreich</v>
      </c>
      <c r="B21" s="5"/>
      <c r="C21" s="51"/>
      <c r="D21" s="52"/>
      <c r="E21" s="53" t="e">
        <f t="shared" si="0"/>
        <v>#DIV/0!</v>
      </c>
      <c r="F21" s="72"/>
      <c r="G21" s="76"/>
      <c r="H21" s="52"/>
      <c r="I21" s="53" t="e">
        <f t="shared" si="1"/>
        <v>#DIV/0!</v>
      </c>
      <c r="J21" s="54"/>
    </row>
    <row r="22" spans="1:10" x14ac:dyDescent="0.2">
      <c r="A22" s="24" t="str">
        <f>VLOOKUP("&lt;Zeilentitel_10&gt;",Uebersetzungen!$B$4:$E$77,Uebersetzungen!$B$2+1,FALSE)</f>
        <v>Vereinigte Staaten</v>
      </c>
      <c r="B22" s="5"/>
      <c r="C22" s="51"/>
      <c r="D22" s="52"/>
      <c r="E22" s="53" t="e">
        <f t="shared" si="0"/>
        <v>#DIV/0!</v>
      </c>
      <c r="F22" s="72"/>
      <c r="G22" s="76"/>
      <c r="H22" s="52"/>
      <c r="I22" s="53" t="e">
        <f t="shared" si="1"/>
        <v>#DIV/0!</v>
      </c>
      <c r="J22" s="54"/>
    </row>
    <row r="23" spans="1:10" x14ac:dyDescent="0.2">
      <c r="A23" s="24" t="str">
        <f>VLOOKUP("&lt;Zeilentitel_11&gt;",Uebersetzungen!$B$4:$E$77,Uebersetzungen!$B$2+1,FALSE)</f>
        <v>Polen</v>
      </c>
      <c r="B23" s="5"/>
      <c r="C23" s="51"/>
      <c r="D23" s="52"/>
      <c r="E23" s="53" t="e">
        <f t="shared" si="0"/>
        <v>#DIV/0!</v>
      </c>
      <c r="F23" s="72"/>
      <c r="G23" s="76"/>
      <c r="H23" s="52"/>
      <c r="I23" s="53" t="e">
        <f t="shared" si="1"/>
        <v>#DIV/0!</v>
      </c>
      <c r="J23" s="54"/>
    </row>
    <row r="24" spans="1:10" x14ac:dyDescent="0.2">
      <c r="A24" s="24" t="str">
        <f>VLOOKUP("&lt;Zeilentitel_12&gt;",Uebersetzungen!$B$4:$E$77,Uebersetzungen!$B$2+1,FALSE)</f>
        <v>Tschechien</v>
      </c>
      <c r="B24" s="5"/>
      <c r="C24" s="51"/>
      <c r="D24" s="52"/>
      <c r="E24" s="53" t="e">
        <f t="shared" si="0"/>
        <v>#DIV/0!</v>
      </c>
      <c r="F24" s="72"/>
      <c r="G24" s="76"/>
      <c r="H24" s="52"/>
      <c r="I24" s="53" t="e">
        <f t="shared" si="1"/>
        <v>#DIV/0!</v>
      </c>
      <c r="J24" s="54"/>
    </row>
    <row r="25" spans="1:10" x14ac:dyDescent="0.2">
      <c r="A25" s="24" t="str">
        <f>VLOOKUP("&lt;Zeilentitel_13&gt;",Uebersetzungen!$B$4:$E$77,Uebersetzungen!$B$2+1,FALSE)</f>
        <v>Russland</v>
      </c>
      <c r="B25" s="5"/>
      <c r="C25" s="51"/>
      <c r="D25" s="52"/>
      <c r="E25" s="53" t="e">
        <f t="shared" si="0"/>
        <v>#DIV/0!</v>
      </c>
      <c r="F25" s="72"/>
      <c r="G25" s="76"/>
      <c r="H25" s="52"/>
      <c r="I25" s="53" t="e">
        <f t="shared" si="1"/>
        <v>#DIV/0!</v>
      </c>
      <c r="J25" s="54"/>
    </row>
    <row r="26" spans="1:10" x14ac:dyDescent="0.2">
      <c r="A26" s="24" t="str">
        <f>VLOOKUP("&lt;Zeilentitel_14&gt;",Uebersetzungen!$B$4:$E$77,Uebersetzungen!$B$2+1,FALSE)</f>
        <v>Schweden</v>
      </c>
      <c r="B26" s="5"/>
      <c r="C26" s="51"/>
      <c r="D26" s="52"/>
      <c r="E26" s="53" t="e">
        <f t="shared" si="0"/>
        <v>#DIV/0!</v>
      </c>
      <c r="F26" s="72"/>
      <c r="G26" s="76"/>
      <c r="H26" s="52"/>
      <c r="I26" s="53" t="e">
        <f t="shared" si="1"/>
        <v>#DIV/0!</v>
      </c>
      <c r="J26" s="54"/>
    </row>
    <row r="27" spans="1:10" x14ac:dyDescent="0.2">
      <c r="A27" s="24" t="str">
        <f>VLOOKUP("&lt;Zeilentitel_15&gt;",Uebersetzungen!$B$4:$E$77,Uebersetzungen!$B$2+1,FALSE)</f>
        <v>Norwegen</v>
      </c>
      <c r="B27" s="5"/>
      <c r="C27" s="51"/>
      <c r="D27" s="52"/>
      <c r="E27" s="53" t="e">
        <f t="shared" si="0"/>
        <v>#DIV/0!</v>
      </c>
      <c r="F27" s="72"/>
      <c r="G27" s="76"/>
      <c r="H27" s="52"/>
      <c r="I27" s="53" t="e">
        <f t="shared" si="1"/>
        <v>#DIV/0!</v>
      </c>
      <c r="J27" s="54"/>
    </row>
    <row r="28" spans="1:10" x14ac:dyDescent="0.2">
      <c r="A28" s="24" t="str">
        <f>VLOOKUP("&lt;Zeilentitel_16&gt;",Uebersetzungen!$B$4:$E$77,Uebersetzungen!$B$2+1,FALSE)</f>
        <v>Dänemark</v>
      </c>
      <c r="B28" s="5"/>
      <c r="C28" s="51"/>
      <c r="D28" s="52"/>
      <c r="E28" s="53" t="e">
        <f t="shared" si="0"/>
        <v>#DIV/0!</v>
      </c>
      <c r="F28" s="72"/>
      <c r="G28" s="76"/>
      <c r="H28" s="52"/>
      <c r="I28" s="53" t="e">
        <f t="shared" si="1"/>
        <v>#DIV/0!</v>
      </c>
      <c r="J28" s="54"/>
    </row>
    <row r="29" spans="1:10" x14ac:dyDescent="0.2">
      <c r="A29" s="24" t="str">
        <f>VLOOKUP("&lt;Zeilentitel_17&gt;",Uebersetzungen!$B$4:$E$77,Uebersetzungen!$B$2+1,FALSE)</f>
        <v>Finnland</v>
      </c>
      <c r="B29" s="5"/>
      <c r="C29" s="51"/>
      <c r="D29" s="52"/>
      <c r="E29" s="53" t="e">
        <f t="shared" si="0"/>
        <v>#DIV/0!</v>
      </c>
      <c r="F29" s="72"/>
      <c r="G29" s="76"/>
      <c r="H29" s="52"/>
      <c r="I29" s="53" t="e">
        <f t="shared" si="1"/>
        <v>#DIV/0!</v>
      </c>
      <c r="J29" s="54"/>
    </row>
    <row r="30" spans="1:10" x14ac:dyDescent="0.2">
      <c r="A30" s="24" t="str">
        <f>VLOOKUP("&lt;Zeilentitel_18&gt;",Uebersetzungen!$B$4:$E$77,Uebersetzungen!$B$2+1,FALSE)</f>
        <v>Japan</v>
      </c>
      <c r="B30" s="5"/>
      <c r="C30" s="51"/>
      <c r="D30" s="52"/>
      <c r="E30" s="53" t="e">
        <f t="shared" si="0"/>
        <v>#DIV/0!</v>
      </c>
      <c r="F30" s="72"/>
      <c r="G30" s="76"/>
      <c r="H30" s="52"/>
      <c r="I30" s="53" t="e">
        <f t="shared" si="1"/>
        <v>#DIV/0!</v>
      </c>
      <c r="J30" s="54"/>
    </row>
    <row r="31" spans="1:10" x14ac:dyDescent="0.2">
      <c r="A31" s="24" t="str">
        <f>VLOOKUP("&lt;Zeilentitel_19&gt;",Uebersetzungen!$B$4:$E$77,Uebersetzungen!$B$2+1,FALSE)</f>
        <v>China / Hongkong / Taiwan (Chin. Taipei)</v>
      </c>
      <c r="B31" s="5"/>
      <c r="C31" s="51"/>
      <c r="D31" s="52"/>
      <c r="E31" s="53" t="e">
        <f t="shared" si="0"/>
        <v>#DIV/0!</v>
      </c>
      <c r="F31" s="72"/>
      <c r="G31" s="76"/>
      <c r="H31" s="52"/>
      <c r="I31" s="53" t="e">
        <f t="shared" si="1"/>
        <v>#DIV/0!</v>
      </c>
      <c r="J31" s="54"/>
    </row>
    <row r="32" spans="1:10" x14ac:dyDescent="0.2">
      <c r="A32" s="24" t="str">
        <f>VLOOKUP("&lt;Zeilentitel_20&gt;",Uebersetzungen!$B$4:$E$77,Uebersetzungen!$B$2+1,FALSE)</f>
        <v xml:space="preserve">Indien </v>
      </c>
      <c r="B32" s="5"/>
      <c r="C32" s="59"/>
      <c r="D32" s="52"/>
      <c r="E32" s="53" t="e">
        <f t="shared" si="0"/>
        <v>#DIV/0!</v>
      </c>
      <c r="F32" s="72"/>
      <c r="G32" s="77"/>
      <c r="H32" s="52"/>
      <c r="I32" s="53" t="e">
        <f t="shared" si="1"/>
        <v>#DIV/0!</v>
      </c>
      <c r="J32" s="54"/>
    </row>
    <row r="33" spans="1:10" x14ac:dyDescent="0.2">
      <c r="A33" s="24" t="str">
        <f>VLOOKUP("&lt;Zeilentitel_21&gt;",Uebersetzungen!$B$4:$E$77,Uebersetzungen!$B$2+1,FALSE)</f>
        <v>Brasilien</v>
      </c>
      <c r="B33" s="5"/>
      <c r="C33" s="51"/>
      <c r="D33" s="52"/>
      <c r="E33" s="53" t="e">
        <f t="shared" si="0"/>
        <v>#DIV/0!</v>
      </c>
      <c r="F33" s="72"/>
      <c r="G33" s="76"/>
      <c r="H33" s="52"/>
      <c r="I33" s="53" t="e">
        <f t="shared" si="1"/>
        <v>#DIV/0!</v>
      </c>
      <c r="J33" s="54"/>
    </row>
    <row r="34" spans="1:10" x14ac:dyDescent="0.2">
      <c r="A34" s="24" t="str">
        <f>VLOOKUP("&lt;Zeilentitel_22&gt;",Uebersetzungen!$B$4:$E$77,Uebersetzungen!$B$2+1,FALSE)</f>
        <v>Golfstaaten</v>
      </c>
      <c r="B34" s="5"/>
      <c r="C34" s="59"/>
      <c r="D34" s="55"/>
      <c r="E34" s="53" t="e">
        <f t="shared" si="0"/>
        <v>#DIV/0!</v>
      </c>
      <c r="F34" s="72"/>
      <c r="G34" s="77"/>
      <c r="H34" s="55"/>
      <c r="I34" s="53" t="e">
        <f t="shared" si="1"/>
        <v>#DIV/0!</v>
      </c>
      <c r="J34" s="54"/>
    </row>
    <row r="35" spans="1:10" x14ac:dyDescent="0.2">
      <c r="A35" s="24" t="str">
        <f>VLOOKUP("&lt;Zeilentitel_23&gt;",Uebersetzungen!$B$4:$E$77,Uebersetzungen!$B$2+1,FALSE)</f>
        <v>Übrige Herkunftsländer</v>
      </c>
      <c r="B35" s="5"/>
      <c r="C35" s="56">
        <f>C36-SUM(C13:C34)</f>
        <v>0</v>
      </c>
      <c r="D35" s="57">
        <f>D36-SUM(D13:D34)</f>
        <v>0</v>
      </c>
      <c r="E35" s="53" t="e">
        <f t="shared" si="0"/>
        <v>#DIV/0!</v>
      </c>
      <c r="F35" s="73" t="s">
        <v>52</v>
      </c>
      <c r="G35" s="78">
        <f>G36-SUM(G13:G34)</f>
        <v>0</v>
      </c>
      <c r="H35" s="57">
        <f>H36-SUM(H13:H34)</f>
        <v>0</v>
      </c>
      <c r="I35" s="53" t="e">
        <f t="shared" si="1"/>
        <v>#DIV/0!</v>
      </c>
      <c r="J35" s="58" t="s">
        <v>52</v>
      </c>
    </row>
    <row r="36" spans="1:10" ht="13.5" thickBot="1" x14ac:dyDescent="0.25">
      <c r="A36" s="26" t="str">
        <f>VLOOKUP("&lt;Zeilentitel_24&gt;",Uebersetzungen!$B$4:$E$77,Uebersetzungen!$B$2+1,FALSE)</f>
        <v>Graubünden</v>
      </c>
      <c r="B36" s="25"/>
      <c r="C36" s="30">
        <f>C61</f>
        <v>0</v>
      </c>
      <c r="D36" s="19">
        <f>D61</f>
        <v>0</v>
      </c>
      <c r="E36" s="12" t="e">
        <f t="shared" si="0"/>
        <v>#DIV/0!</v>
      </c>
      <c r="F36" s="74">
        <f>F61</f>
        <v>0</v>
      </c>
      <c r="G36" s="79">
        <f t="shared" ref="G36:H36" si="2">G61</f>
        <v>0</v>
      </c>
      <c r="H36" s="19">
        <f t="shared" si="2"/>
        <v>0</v>
      </c>
      <c r="I36" s="12" t="e">
        <f t="shared" si="1"/>
        <v>#DIV/0!</v>
      </c>
      <c r="J36" s="47">
        <f>J61</f>
        <v>0</v>
      </c>
    </row>
    <row r="37" spans="1:10" x14ac:dyDescent="0.2">
      <c r="C37" s="15"/>
      <c r="D37" s="16"/>
      <c r="E37" s="28"/>
      <c r="F37" s="27"/>
      <c r="I37" s="15"/>
      <c r="J37" s="15"/>
    </row>
    <row r="38" spans="1:10" x14ac:dyDescent="0.2">
      <c r="C38" s="15"/>
    </row>
    <row r="39" spans="1:10" ht="18" x14ac:dyDescent="0.25">
      <c r="A39" s="2" t="str">
        <f>VLOOKUP("&lt;T4Titel2&gt;",Uebersetzungen!$B$4:$E$303,Uebersetzungen!$B$2+1,FALSE)</f>
        <v>Hotel- und Kurbetriebe: Logiernächte im April 2024, nach Destinationen</v>
      </c>
      <c r="B39" s="3"/>
      <c r="C39" s="3"/>
      <c r="D39" s="3"/>
      <c r="E39" s="3"/>
      <c r="F39" s="3"/>
    </row>
    <row r="40" spans="1:10" s="123" customFormat="1" x14ac:dyDescent="0.2">
      <c r="A40" s="120" t="str">
        <f>VLOOKUP("&lt;Titelprov&gt;",Uebersetzungen!$B$4:$E$303,Uebersetzungen!$B$2+1,FALSE)</f>
        <v>provisorische Ergebnisse</v>
      </c>
      <c r="B40" s="121"/>
      <c r="C40" s="122"/>
      <c r="D40" s="122"/>
      <c r="E40" s="122"/>
      <c r="F40" s="122"/>
      <c r="G40" s="122"/>
    </row>
    <row r="41" spans="1:10" ht="13.5" thickBot="1" x14ac:dyDescent="0.25"/>
    <row r="42" spans="1:10" ht="51" x14ac:dyDescent="0.2">
      <c r="A42" s="8"/>
      <c r="B42" s="9"/>
      <c r="C42" s="20" t="str">
        <f>VLOOKUP("&lt;T4SpaltenTitel_1&gt;",Uebersetzungen!$B$4:$E$303,Uebersetzungen!$B$2+1,FALSE)</f>
        <v>April 2024</v>
      </c>
      <c r="D42" s="21" t="str">
        <f>VLOOKUP("&lt;T4SpaltenTitel_2&gt;",Uebersetzungen!$B$4:$E$303,Uebersetzungen!$B$2+1,FALSE)</f>
        <v>April 2023</v>
      </c>
      <c r="E42" s="22" t="str">
        <f>VLOOKUP("&lt;SpaltenTitel_3&gt;",Uebersetzungen!$B$4:$E$303,Uebersetzungen!$B$2+1,FALSE)</f>
        <v>Veränderung 24/23 in %</v>
      </c>
      <c r="F42" s="22" t="str">
        <f>VLOOKUP("&lt;SpaltenTitel_4&gt;",Uebersetzungen!$B$4:$E$303,Uebersetzungen!$B$2+1,FALSE)</f>
        <v>Veränderung zum
5-Jahresmittel 
in %</v>
      </c>
      <c r="G42" s="75" t="str">
        <f>VLOOKUP("&lt;T4SpaltenTitel_5&gt;",Uebersetzungen!$B$4:$E$303,Uebersetzungen!$B$2+1,FALSE)</f>
        <v>Januar-April 24</v>
      </c>
      <c r="H42" s="22" t="str">
        <f>VLOOKUP("&lt;T4SpaltenTitel_6&gt;",Uebersetzungen!$B$4:$E$303,Uebersetzungen!$B$2+1,FALSE)</f>
        <v>Januar-April 23</v>
      </c>
      <c r="I42" s="22" t="str">
        <f>VLOOKUP("&lt;SpaltenTitel_7&gt;",Uebersetzungen!$B$4:$E$303,Uebersetzungen!$B$2+1,FALSE)</f>
        <v>Veränderung 24/23 in %</v>
      </c>
      <c r="J42" s="23" t="str">
        <f>VLOOKUP("&lt;SpaltenTitel_8&gt;",Uebersetzungen!$B$4:$E$303,Uebersetzungen!$B$2+1,FALSE)</f>
        <v>Veränderung zum
5-Jahresmittel 
in %</v>
      </c>
    </row>
    <row r="43" spans="1:10" x14ac:dyDescent="0.2">
      <c r="A43" s="24" t="str">
        <f>VLOOKUP("&lt;Zeilentitel_25&gt;",Uebersetzungen!$B$4:$E$77,Uebersetzungen!$B$2+1,FALSE)</f>
        <v>Arosa</v>
      </c>
      <c r="B43" s="5"/>
      <c r="C43" s="13"/>
      <c r="D43" s="17"/>
      <c r="E43" s="10" t="e">
        <f>C43/D43-1</f>
        <v>#DIV/0!</v>
      </c>
      <c r="F43" s="80"/>
      <c r="G43" s="83"/>
      <c r="H43" s="17"/>
      <c r="I43" s="10" t="e">
        <f>G43/H43-1</f>
        <v>#DIV/0!</v>
      </c>
      <c r="J43" s="44"/>
    </row>
    <row r="44" spans="1:10" x14ac:dyDescent="0.2">
      <c r="A44" s="24" t="str">
        <f>VLOOKUP("&lt;Zeilentitel_26&gt;",Uebersetzungen!$B$4:$E$77,Uebersetzungen!$B$2+1,FALSE)</f>
        <v>Bergün Filisur</v>
      </c>
      <c r="B44" s="5"/>
      <c r="C44" s="13"/>
      <c r="D44" s="17"/>
      <c r="E44" s="10" t="e">
        <f t="shared" ref="E44:E61" si="3">C44/D44-1</f>
        <v>#DIV/0!</v>
      </c>
      <c r="F44" s="80"/>
      <c r="G44" s="83"/>
      <c r="H44" s="17"/>
      <c r="I44" s="10" t="e">
        <f t="shared" ref="I44:I61" si="4">G44/H44-1</f>
        <v>#DIV/0!</v>
      </c>
      <c r="J44" s="44"/>
    </row>
    <row r="45" spans="1:10" x14ac:dyDescent="0.2">
      <c r="A45" s="24" t="str">
        <f>VLOOKUP("&lt;Zeilentitel_27&gt;",Uebersetzungen!$B$4:$E$77,Uebersetzungen!$B$2+1,FALSE)</f>
        <v>Bregaglia Engadin</v>
      </c>
      <c r="B45" s="5"/>
      <c r="C45" s="13"/>
      <c r="D45" s="17"/>
      <c r="E45" s="10" t="e">
        <f t="shared" si="3"/>
        <v>#DIV/0!</v>
      </c>
      <c r="F45" s="80"/>
      <c r="G45" s="83"/>
      <c r="H45" s="17"/>
      <c r="I45" s="10" t="e">
        <f t="shared" si="4"/>
        <v>#DIV/0!</v>
      </c>
      <c r="J45" s="44"/>
    </row>
    <row r="46" spans="1:10" x14ac:dyDescent="0.2">
      <c r="A46" s="24" t="str">
        <f>VLOOKUP("&lt;Zeilentitel_28&gt;",Uebersetzungen!$B$4:$E$77,Uebersetzungen!$B$2+1,FALSE)</f>
        <v>Bündner Herrschaft</v>
      </c>
      <c r="B46" s="5"/>
      <c r="C46" s="13"/>
      <c r="D46" s="17"/>
      <c r="E46" s="10" t="e">
        <f t="shared" si="3"/>
        <v>#DIV/0!</v>
      </c>
      <c r="F46" s="80"/>
      <c r="G46" s="83"/>
      <c r="H46" s="17"/>
      <c r="I46" s="10" t="e">
        <f t="shared" si="4"/>
        <v>#DIV/0!</v>
      </c>
      <c r="J46" s="44"/>
    </row>
    <row r="47" spans="1:10" x14ac:dyDescent="0.2">
      <c r="A47" s="24" t="str">
        <f>VLOOKUP("&lt;Zeilentitel_29&gt;",Uebersetzungen!$B$4:$E$77,Uebersetzungen!$B$2+1,FALSE)</f>
        <v>Chur</v>
      </c>
      <c r="B47" s="5"/>
      <c r="C47" s="13"/>
      <c r="D47" s="17"/>
      <c r="E47" s="10" t="e">
        <f t="shared" si="3"/>
        <v>#DIV/0!</v>
      </c>
      <c r="F47" s="80"/>
      <c r="G47" s="83"/>
      <c r="H47" s="17"/>
      <c r="I47" s="10" t="e">
        <f t="shared" si="4"/>
        <v>#DIV/0!</v>
      </c>
      <c r="J47" s="44"/>
    </row>
    <row r="48" spans="1:10" x14ac:dyDescent="0.2">
      <c r="A48" s="24" t="str">
        <f>VLOOKUP("&lt;Zeilentitel_30&gt;",Uebersetzungen!$B$4:$E$77,Uebersetzungen!$B$2+1,FALSE)</f>
        <v>Davos Klosters</v>
      </c>
      <c r="B48" s="5"/>
      <c r="C48" s="13"/>
      <c r="D48" s="17"/>
      <c r="E48" s="10" t="e">
        <f t="shared" si="3"/>
        <v>#DIV/0!</v>
      </c>
      <c r="F48" s="80"/>
      <c r="G48" s="83"/>
      <c r="H48" s="17"/>
      <c r="I48" s="10" t="e">
        <f t="shared" si="4"/>
        <v>#DIV/0!</v>
      </c>
      <c r="J48" s="44"/>
    </row>
    <row r="49" spans="1:10" x14ac:dyDescent="0.2">
      <c r="A49" s="24" t="str">
        <f>VLOOKUP("&lt;Zeilentitel_31&gt;",Uebersetzungen!$B$4:$E$77,Uebersetzungen!$B$2+1,FALSE)</f>
        <v>Disentis Sedrun</v>
      </c>
      <c r="B49" s="5"/>
      <c r="C49" s="13"/>
      <c r="D49" s="17"/>
      <c r="E49" s="10" t="e">
        <f t="shared" si="3"/>
        <v>#DIV/0!</v>
      </c>
      <c r="F49" s="80"/>
      <c r="G49" s="83"/>
      <c r="H49" s="17"/>
      <c r="I49" s="10" t="e">
        <f t="shared" si="4"/>
        <v>#DIV/0!</v>
      </c>
      <c r="J49" s="44"/>
    </row>
    <row r="50" spans="1:10" x14ac:dyDescent="0.2">
      <c r="A50" s="24" t="str">
        <f>VLOOKUP("&lt;Zeilentitel_32&gt;",Uebersetzungen!$B$4:$E$77,Uebersetzungen!$B$2+1,FALSE)</f>
        <v>Scuol Samnaun Val Müstair</v>
      </c>
      <c r="B50" s="5"/>
      <c r="C50" s="13"/>
      <c r="D50" s="17"/>
      <c r="E50" s="10" t="e">
        <f t="shared" si="3"/>
        <v>#DIV/0!</v>
      </c>
      <c r="F50" s="80"/>
      <c r="G50" s="83"/>
      <c r="H50" s="17"/>
      <c r="I50" s="10" t="e">
        <f t="shared" si="4"/>
        <v>#DIV/0!</v>
      </c>
      <c r="J50" s="44"/>
    </row>
    <row r="51" spans="1:10" x14ac:dyDescent="0.2">
      <c r="A51" s="24" t="str">
        <f>VLOOKUP("&lt;Zeilentitel_33&gt;",Uebersetzungen!$B$4:$E$77,Uebersetzungen!$B$2+1,FALSE)</f>
        <v>Engadin St. Moritz</v>
      </c>
      <c r="B51" s="5"/>
      <c r="C51" s="13"/>
      <c r="D51" s="17"/>
      <c r="E51" s="10" t="e">
        <f t="shared" si="3"/>
        <v>#DIV/0!</v>
      </c>
      <c r="F51" s="80"/>
      <c r="G51" s="83"/>
      <c r="H51" s="17"/>
      <c r="I51" s="10" t="e">
        <f t="shared" si="4"/>
        <v>#DIV/0!</v>
      </c>
      <c r="J51" s="44"/>
    </row>
    <row r="52" spans="1:10" x14ac:dyDescent="0.2">
      <c r="A52" s="24" t="str">
        <f>VLOOKUP("&lt;Zeilentitel_34&gt;",Uebersetzungen!$B$4:$E$77,Uebersetzungen!$B$2+1,FALSE)</f>
        <v>Flims Laax</v>
      </c>
      <c r="B52" s="5"/>
      <c r="C52" s="13"/>
      <c r="D52" s="17"/>
      <c r="E52" s="10" t="e">
        <f t="shared" si="3"/>
        <v>#DIV/0!</v>
      </c>
      <c r="F52" s="80"/>
      <c r="G52" s="83"/>
      <c r="H52" s="17"/>
      <c r="I52" s="10" t="e">
        <f t="shared" si="4"/>
        <v>#DIV/0!</v>
      </c>
      <c r="J52" s="44"/>
    </row>
    <row r="53" spans="1:10" x14ac:dyDescent="0.2">
      <c r="A53" s="24" t="str">
        <f>VLOOKUP("&lt;Zeilentitel_35&gt;",Uebersetzungen!$B$4:$E$77,Uebersetzungen!$B$2+1,FALSE)</f>
        <v>Lenzerheide</v>
      </c>
      <c r="B53" s="5"/>
      <c r="C53" s="13"/>
      <c r="D53" s="17"/>
      <c r="E53" s="10" t="e">
        <f t="shared" si="3"/>
        <v>#DIV/0!</v>
      </c>
      <c r="F53" s="80"/>
      <c r="G53" s="83"/>
      <c r="H53" s="17"/>
      <c r="I53" s="10" t="e">
        <f t="shared" si="4"/>
        <v>#DIV/0!</v>
      </c>
      <c r="J53" s="44"/>
    </row>
    <row r="54" spans="1:10" x14ac:dyDescent="0.2">
      <c r="A54" s="24" t="str">
        <f>VLOOKUP("&lt;Zeilentitel_36&gt;",Uebersetzungen!$B$4:$E$77,Uebersetzungen!$B$2+1,FALSE)</f>
        <v>Prättigau</v>
      </c>
      <c r="B54" s="5"/>
      <c r="C54" s="13"/>
      <c r="D54" s="17"/>
      <c r="E54" s="10" t="e">
        <f t="shared" si="3"/>
        <v>#DIV/0!</v>
      </c>
      <c r="F54" s="80"/>
      <c r="G54" s="83"/>
      <c r="H54" s="17"/>
      <c r="I54" s="10" t="e">
        <f t="shared" si="4"/>
        <v>#DIV/0!</v>
      </c>
      <c r="J54" s="44"/>
    </row>
    <row r="55" spans="1:10" x14ac:dyDescent="0.2">
      <c r="A55" s="24" t="str">
        <f>VLOOKUP("&lt;Zeilentitel_37&gt;",Uebersetzungen!$B$4:$E$77,Uebersetzungen!$B$2+1,FALSE)</f>
        <v>San Bernardino, Mesolcina/Calanca</v>
      </c>
      <c r="B55" s="5"/>
      <c r="C55" s="13"/>
      <c r="D55" s="17"/>
      <c r="E55" s="10" t="e">
        <f t="shared" si="3"/>
        <v>#DIV/0!</v>
      </c>
      <c r="F55" s="80"/>
      <c r="G55" s="83"/>
      <c r="H55" s="17"/>
      <c r="I55" s="10" t="e">
        <f t="shared" si="4"/>
        <v>#DIV/0!</v>
      </c>
      <c r="J55" s="44"/>
    </row>
    <row r="56" spans="1:10" x14ac:dyDescent="0.2">
      <c r="A56" s="24" t="str">
        <f>VLOOKUP("&lt;Zeilentitel_38&gt;",Uebersetzungen!$B$4:$E$77,Uebersetzungen!$B$2+1,FALSE)</f>
        <v>Val Surses</v>
      </c>
      <c r="B56" s="5"/>
      <c r="C56" s="13"/>
      <c r="D56" s="17"/>
      <c r="E56" s="10" t="e">
        <f t="shared" si="3"/>
        <v>#DIV/0!</v>
      </c>
      <c r="F56" s="80"/>
      <c r="G56" s="83"/>
      <c r="H56" s="17"/>
      <c r="I56" s="10" t="e">
        <f t="shared" si="4"/>
        <v>#DIV/0!</v>
      </c>
      <c r="J56" s="44"/>
    </row>
    <row r="57" spans="1:10" x14ac:dyDescent="0.2">
      <c r="A57" s="24" t="str">
        <f>VLOOKUP("&lt;Zeilentitel_39&gt;",Uebersetzungen!$B$4:$E$77,Uebersetzungen!$B$2+1,FALSE)</f>
        <v>Surselva</v>
      </c>
      <c r="B57" s="5"/>
      <c r="C57" s="13"/>
      <c r="D57" s="17"/>
      <c r="E57" s="10" t="e">
        <f t="shared" si="3"/>
        <v>#DIV/0!</v>
      </c>
      <c r="F57" s="80"/>
      <c r="G57" s="83"/>
      <c r="H57" s="17"/>
      <c r="I57" s="10" t="e">
        <f t="shared" si="4"/>
        <v>#DIV/0!</v>
      </c>
      <c r="J57" s="44"/>
    </row>
    <row r="58" spans="1:10" x14ac:dyDescent="0.2">
      <c r="A58" s="24" t="str">
        <f>VLOOKUP("&lt;Zeilentitel_40&gt;",Uebersetzungen!$B$4:$E$77,Uebersetzungen!$B$2+1,FALSE)</f>
        <v>Valposchiavo</v>
      </c>
      <c r="B58" s="5"/>
      <c r="C58" s="13"/>
      <c r="D58" s="17"/>
      <c r="E58" s="10" t="e">
        <f t="shared" si="3"/>
        <v>#DIV/0!</v>
      </c>
      <c r="F58" s="80"/>
      <c r="G58" s="83"/>
      <c r="H58" s="17"/>
      <c r="I58" s="10" t="e">
        <f t="shared" si="4"/>
        <v>#DIV/0!</v>
      </c>
      <c r="J58" s="44"/>
    </row>
    <row r="59" spans="1:10" x14ac:dyDescent="0.2">
      <c r="A59" s="24" t="str">
        <f>VLOOKUP("&lt;Zeilentitel_41&gt;",Uebersetzungen!$B$4:$E$77,Uebersetzungen!$B$2+1,FALSE)</f>
        <v>Vals</v>
      </c>
      <c r="B59" s="5"/>
      <c r="C59" s="13"/>
      <c r="D59" s="17"/>
      <c r="E59" s="10" t="e">
        <f t="shared" si="3"/>
        <v>#DIV/0!</v>
      </c>
      <c r="F59" s="80"/>
      <c r="G59" s="83"/>
      <c r="H59" s="17"/>
      <c r="I59" s="10" t="e">
        <f t="shared" si="4"/>
        <v>#DIV/0!</v>
      </c>
      <c r="J59" s="44"/>
    </row>
    <row r="60" spans="1:10" x14ac:dyDescent="0.2">
      <c r="A60" s="24" t="str">
        <f>VLOOKUP("&lt;Zeilentitel_42&gt;",Uebersetzungen!$B$4:$E$77,Uebersetzungen!$B$2+1,FALSE)</f>
        <v>Viamala</v>
      </c>
      <c r="B60" s="7"/>
      <c r="C60" s="14"/>
      <c r="D60" s="18"/>
      <c r="E60" s="11" t="e">
        <f t="shared" si="3"/>
        <v>#DIV/0!</v>
      </c>
      <c r="F60" s="81"/>
      <c r="G60" s="84"/>
      <c r="H60" s="18"/>
      <c r="I60" s="11" t="e">
        <f t="shared" si="4"/>
        <v>#DIV/0!</v>
      </c>
      <c r="J60" s="46"/>
    </row>
    <row r="61" spans="1:10" ht="13.5" thickBot="1" x14ac:dyDescent="0.25">
      <c r="A61" s="26" t="str">
        <f>VLOOKUP("&lt;Zeilentitel_43&gt;",Uebersetzungen!$B$4:$E$77,Uebersetzungen!$B$2+1,FALSE)</f>
        <v>Graubünden</v>
      </c>
      <c r="B61" s="6"/>
      <c r="C61" s="30"/>
      <c r="D61" s="40"/>
      <c r="E61" s="65" t="e">
        <f t="shared" si="3"/>
        <v>#DIV/0!</v>
      </c>
      <c r="F61" s="82"/>
      <c r="G61" s="79"/>
      <c r="H61" s="40"/>
      <c r="I61" s="65" t="e">
        <f t="shared" si="4"/>
        <v>#DIV/0!</v>
      </c>
      <c r="J61" s="66"/>
    </row>
    <row r="63" spans="1:10" x14ac:dyDescent="0.2">
      <c r="A63" s="4" t="str">
        <f>VLOOKUP("&lt;Legende_1&gt;",Uebersetzungen!$B$4:$E$79,Uebersetzungen!$B$2+1,FALSE)</f>
        <v>Aktuelle Zuordnung der politischen Gemeinden zu Destinationen:</v>
      </c>
      <c r="E63" s="67" t="s">
        <v>217</v>
      </c>
      <c r="F63" s="49"/>
    </row>
    <row r="65" spans="1:10" ht="10.5" customHeight="1" x14ac:dyDescent="0.2"/>
    <row r="66" spans="1:10" ht="18" x14ac:dyDescent="0.25">
      <c r="A66" s="2" t="str">
        <f>VLOOKUP("&lt;T4Titel3&gt;",Uebersetzungen!$B$4:$E$303,Uebersetzungen!$B$2+1,FALSE)</f>
        <v>Hotel- und Kurbetriebe: Logiernächte im April 2024, nach Schweizer Tourismusregionen</v>
      </c>
      <c r="B66" s="3"/>
      <c r="C66" s="3"/>
      <c r="D66" s="3"/>
      <c r="E66" s="3"/>
      <c r="F66" s="3"/>
    </row>
    <row r="67" spans="1:10" s="123" customFormat="1" x14ac:dyDescent="0.2">
      <c r="A67" s="120" t="str">
        <f>VLOOKUP("&lt;Titelprov&gt;",Uebersetzungen!$B$4:$E$303,Uebersetzungen!$B$2+1,FALSE)</f>
        <v>provisorische Ergebnisse</v>
      </c>
      <c r="B67" s="121"/>
      <c r="C67" s="122"/>
      <c r="D67" s="122"/>
      <c r="E67" s="122"/>
      <c r="F67" s="122"/>
      <c r="G67" s="122"/>
    </row>
    <row r="68" spans="1:10" ht="18.75" customHeight="1" thickBot="1" x14ac:dyDescent="0.3">
      <c r="A68" s="50"/>
    </row>
    <row r="69" spans="1:10" ht="51" x14ac:dyDescent="0.2">
      <c r="A69" s="8"/>
      <c r="B69" s="9"/>
      <c r="C69" s="20" t="str">
        <f>VLOOKUP("&lt;T4SpaltenTitel_1&gt;",Uebersetzungen!$B$4:$E$303,Uebersetzungen!$B$2+1,FALSE)</f>
        <v>April 2024</v>
      </c>
      <c r="D69" s="21" t="str">
        <f>VLOOKUP("&lt;T4SpaltenTitel_2&gt;",Uebersetzungen!$B$4:$E$303,Uebersetzungen!$B$2+1,FALSE)</f>
        <v>April 2023</v>
      </c>
      <c r="E69" s="22" t="str">
        <f>VLOOKUP("&lt;SpaltenTitel_3&gt;",Uebersetzungen!$B$4:$E$303,Uebersetzungen!$B$2+1,FALSE)</f>
        <v>Veränderung 24/23 in %</v>
      </c>
      <c r="F69" s="22" t="str">
        <f>VLOOKUP("&lt;SpaltenTitel_4&gt;",Uebersetzungen!$B$4:$E$303,Uebersetzungen!$B$2+1,FALSE)</f>
        <v>Veränderung zum
5-Jahresmittel 
in %</v>
      </c>
      <c r="G69" s="75" t="str">
        <f>VLOOKUP("&lt;T4SpaltenTitel_5&gt;",Uebersetzungen!$B$4:$E$303,Uebersetzungen!$B$2+1,FALSE)</f>
        <v>Januar-April 24</v>
      </c>
      <c r="H69" s="22" t="str">
        <f>VLOOKUP("&lt;T4SpaltenTitel_6&gt;",Uebersetzungen!$B$4:$E$303,Uebersetzungen!$B$2+1,FALSE)</f>
        <v>Januar-April 23</v>
      </c>
      <c r="I69" s="22" t="str">
        <f>VLOOKUP("&lt;SpaltenTitel_7&gt;",Uebersetzungen!$B$4:$E$303,Uebersetzungen!$B$2+1,FALSE)</f>
        <v>Veränderung 24/23 in %</v>
      </c>
      <c r="J69" s="23" t="str">
        <f>VLOOKUP("&lt;SpaltenTitel_8&gt;",Uebersetzungen!$B$4:$E$303,Uebersetzungen!$B$2+1,FALSE)</f>
        <v>Veränderung zum
5-Jahresmittel 
in %</v>
      </c>
    </row>
    <row r="70" spans="1:10" x14ac:dyDescent="0.2">
      <c r="A70" s="24" t="str">
        <f>VLOOKUP("&lt;Zeilentitel_44&gt;",Uebersetzungen!$B$4:$E$77,Uebersetzungen!$B$2+1,FALSE)</f>
        <v>Aargau und Solothurn Region</v>
      </c>
      <c r="B70" s="5"/>
      <c r="C70" s="13"/>
      <c r="D70" s="17"/>
      <c r="E70" s="10" t="e">
        <f>C70/D70-1</f>
        <v>#DIV/0!</v>
      </c>
      <c r="F70" s="80"/>
      <c r="G70" s="83"/>
      <c r="H70" s="17"/>
      <c r="I70" s="10" t="e">
        <f>G70/H70-1</f>
        <v>#DIV/0!</v>
      </c>
      <c r="J70" s="44"/>
    </row>
    <row r="71" spans="1:10" x14ac:dyDescent="0.2">
      <c r="A71" s="24" t="str">
        <f>VLOOKUP("&lt;Zeilentitel_45&gt;",Uebersetzungen!$B$4:$E$77,Uebersetzungen!$B$2+1,FALSE)</f>
        <v>Basel Region</v>
      </c>
      <c r="B71" s="5"/>
      <c r="C71" s="13"/>
      <c r="D71" s="17"/>
      <c r="E71" s="10" t="e">
        <f t="shared" ref="E71:E83" si="5">C71/D71-1</f>
        <v>#DIV/0!</v>
      </c>
      <c r="F71" s="80"/>
      <c r="G71" s="83"/>
      <c r="H71" s="17"/>
      <c r="I71" s="10" t="e">
        <f t="shared" ref="I71:I83" si="6">G71/H71-1</f>
        <v>#DIV/0!</v>
      </c>
      <c r="J71" s="44"/>
    </row>
    <row r="72" spans="1:10" x14ac:dyDescent="0.2">
      <c r="A72" s="24" t="str">
        <f>VLOOKUP("&lt;Zeilentitel_46&gt;",Uebersetzungen!$B$4:$E$77,Uebersetzungen!$B$2+1,FALSE)</f>
        <v>Bern Region</v>
      </c>
      <c r="B72" s="5"/>
      <c r="C72" s="13"/>
      <c r="D72" s="17"/>
      <c r="E72" s="10" t="e">
        <f t="shared" si="5"/>
        <v>#DIV/0!</v>
      </c>
      <c r="F72" s="80"/>
      <c r="G72" s="83"/>
      <c r="H72" s="17"/>
      <c r="I72" s="10" t="e">
        <f t="shared" si="6"/>
        <v>#DIV/0!</v>
      </c>
      <c r="J72" s="44"/>
    </row>
    <row r="73" spans="1:10" x14ac:dyDescent="0.2">
      <c r="A73" s="24" t="str">
        <f>VLOOKUP("&lt;Zeilentitel_47&gt;",Uebersetzungen!$B$4:$E$77,Uebersetzungen!$B$2+1,FALSE)</f>
        <v>Fribourg Region</v>
      </c>
      <c r="B73" s="5"/>
      <c r="C73" s="13"/>
      <c r="D73" s="17"/>
      <c r="E73" s="10" t="e">
        <f t="shared" si="5"/>
        <v>#DIV/0!</v>
      </c>
      <c r="F73" s="80"/>
      <c r="G73" s="83"/>
      <c r="H73" s="17"/>
      <c r="I73" s="10" t="e">
        <f t="shared" si="6"/>
        <v>#DIV/0!</v>
      </c>
      <c r="J73" s="44"/>
    </row>
    <row r="74" spans="1:10" x14ac:dyDescent="0.2">
      <c r="A74" s="24" t="str">
        <f>VLOOKUP("&lt;Zeilentitel_48&gt;",Uebersetzungen!$B$4:$E$77,Uebersetzungen!$B$2+1,FALSE)</f>
        <v>Genf</v>
      </c>
      <c r="B74" s="5"/>
      <c r="C74" s="13"/>
      <c r="D74" s="17"/>
      <c r="E74" s="10" t="e">
        <f t="shared" si="5"/>
        <v>#DIV/0!</v>
      </c>
      <c r="F74" s="80"/>
      <c r="G74" s="83"/>
      <c r="H74" s="17"/>
      <c r="I74" s="10" t="e">
        <f t="shared" si="6"/>
        <v>#DIV/0!</v>
      </c>
      <c r="J74" s="44"/>
    </row>
    <row r="75" spans="1:10" x14ac:dyDescent="0.2">
      <c r="A75" s="110" t="str">
        <f>VLOOKUP("&lt;Zeilentitel_49&gt;",Uebersetzungen!$B$4:$E$77,Uebersetzungen!$B$2+1,FALSE)</f>
        <v>Graubünden</v>
      </c>
      <c r="B75" s="60"/>
      <c r="C75" s="61"/>
      <c r="D75" s="62"/>
      <c r="E75" s="63" t="e">
        <f t="shared" si="5"/>
        <v>#DIV/0!</v>
      </c>
      <c r="F75" s="85"/>
      <c r="G75" s="87"/>
      <c r="H75" s="62"/>
      <c r="I75" s="63" t="e">
        <f t="shared" si="6"/>
        <v>#DIV/0!</v>
      </c>
      <c r="J75" s="64"/>
    </row>
    <row r="76" spans="1:10" x14ac:dyDescent="0.2">
      <c r="A76" s="24" t="str">
        <f>VLOOKUP("&lt;Zeilentitel_50&gt;",Uebersetzungen!$B$4:$E$77,Uebersetzungen!$B$2+1,FALSE)</f>
        <v>Jura &amp; Drei-Seen-Land</v>
      </c>
      <c r="B76" s="5"/>
      <c r="C76" s="13"/>
      <c r="D76" s="17"/>
      <c r="E76" s="10" t="e">
        <f t="shared" si="5"/>
        <v>#DIV/0!</v>
      </c>
      <c r="F76" s="80"/>
      <c r="G76" s="83"/>
      <c r="H76" s="17"/>
      <c r="I76" s="10" t="e">
        <f t="shared" si="6"/>
        <v>#DIV/0!</v>
      </c>
      <c r="J76" s="44"/>
    </row>
    <row r="77" spans="1:10" x14ac:dyDescent="0.2">
      <c r="A77" s="24" t="str">
        <f>VLOOKUP("&lt;Zeilentitel_51&gt;",Uebersetzungen!$B$4:$E$77,Uebersetzungen!$B$2+1,FALSE)</f>
        <v>Luzern / Vierwaldstättersee</v>
      </c>
      <c r="B77" s="5"/>
      <c r="C77" s="13"/>
      <c r="D77" s="17"/>
      <c r="E77" s="10" t="e">
        <f t="shared" si="5"/>
        <v>#DIV/0!</v>
      </c>
      <c r="F77" s="80"/>
      <c r="G77" s="83"/>
      <c r="H77" s="17"/>
      <c r="I77" s="10" t="e">
        <f t="shared" si="6"/>
        <v>#DIV/0!</v>
      </c>
      <c r="J77" s="44"/>
    </row>
    <row r="78" spans="1:10" x14ac:dyDescent="0.2">
      <c r="A78" s="24" t="str">
        <f>VLOOKUP("&lt;Zeilentitel_52&gt;",Uebersetzungen!$B$4:$E$77,Uebersetzungen!$B$2+1,FALSE)</f>
        <v>Ostschweiz</v>
      </c>
      <c r="B78" s="5"/>
      <c r="C78" s="13"/>
      <c r="D78" s="17"/>
      <c r="E78" s="10" t="e">
        <f t="shared" si="5"/>
        <v>#DIV/0!</v>
      </c>
      <c r="F78" s="80"/>
      <c r="G78" s="83"/>
      <c r="H78" s="17"/>
      <c r="I78" s="10" t="e">
        <f t="shared" si="6"/>
        <v>#DIV/0!</v>
      </c>
      <c r="J78" s="44"/>
    </row>
    <row r="79" spans="1:10" x14ac:dyDescent="0.2">
      <c r="A79" s="24" t="str">
        <f>VLOOKUP("&lt;Zeilentitel_53&gt;",Uebersetzungen!$B$4:$E$77,Uebersetzungen!$B$2+1,FALSE)</f>
        <v>Tessin</v>
      </c>
      <c r="B79" s="5"/>
      <c r="C79" s="13"/>
      <c r="D79" s="17"/>
      <c r="E79" s="10" t="e">
        <f t="shared" si="5"/>
        <v>#DIV/0!</v>
      </c>
      <c r="F79" s="80"/>
      <c r="G79" s="83"/>
      <c r="H79" s="17"/>
      <c r="I79" s="10" t="e">
        <f t="shared" si="6"/>
        <v>#DIV/0!</v>
      </c>
      <c r="J79" s="44"/>
    </row>
    <row r="80" spans="1:10" x14ac:dyDescent="0.2">
      <c r="A80" s="24" t="str">
        <f>VLOOKUP("&lt;Zeilentitel_54&gt;",Uebersetzungen!$B$4:$E$77,Uebersetzungen!$B$2+1,FALSE)</f>
        <v>Waadt</v>
      </c>
      <c r="B80" s="5"/>
      <c r="C80" s="13"/>
      <c r="D80" s="17"/>
      <c r="E80" s="10" t="e">
        <f t="shared" si="5"/>
        <v>#DIV/0!</v>
      </c>
      <c r="F80" s="80"/>
      <c r="G80" s="83"/>
      <c r="H80" s="17"/>
      <c r="I80" s="10" t="e">
        <f t="shared" si="6"/>
        <v>#DIV/0!</v>
      </c>
      <c r="J80" s="44"/>
    </row>
    <row r="81" spans="1:10" x14ac:dyDescent="0.2">
      <c r="A81" s="24" t="str">
        <f>VLOOKUP("&lt;Zeilentitel_55&gt;",Uebersetzungen!$B$4:$E$77,Uebersetzungen!$B$2+1,FALSE)</f>
        <v>Wallis</v>
      </c>
      <c r="B81" s="5"/>
      <c r="C81" s="13"/>
      <c r="D81" s="17"/>
      <c r="E81" s="33" t="e">
        <f t="shared" si="5"/>
        <v>#DIV/0!</v>
      </c>
      <c r="F81" s="80"/>
      <c r="G81" s="83"/>
      <c r="H81" s="17"/>
      <c r="I81" s="33" t="e">
        <f t="shared" si="6"/>
        <v>#DIV/0!</v>
      </c>
      <c r="J81" s="44"/>
    </row>
    <row r="82" spans="1:10" x14ac:dyDescent="0.2">
      <c r="A82" s="24" t="str">
        <f>VLOOKUP("&lt;Zeilentitel_56&gt;",Uebersetzungen!$B$4:$E$77,Uebersetzungen!$B$2+1,FALSE)</f>
        <v>Zürich Region</v>
      </c>
      <c r="B82" s="7"/>
      <c r="C82" s="14"/>
      <c r="D82" s="18"/>
      <c r="E82" s="43" t="e">
        <f t="shared" si="5"/>
        <v>#DIV/0!</v>
      </c>
      <c r="F82" s="11"/>
      <c r="G82" s="84"/>
      <c r="H82" s="18"/>
      <c r="I82" s="43" t="e">
        <f t="shared" si="6"/>
        <v>#DIV/0!</v>
      </c>
      <c r="J82" s="48"/>
    </row>
    <row r="83" spans="1:10" ht="13.5" thickBot="1" x14ac:dyDescent="0.25">
      <c r="A83" s="71" t="str">
        <f>VLOOKUP("&lt;Zeilentitel_57&gt;",Uebersetzungen!$B$4:$E$77,Uebersetzungen!$B$2+1,FALSE)</f>
        <v>Schweiz</v>
      </c>
      <c r="B83" s="39"/>
      <c r="C83" s="30"/>
      <c r="D83" s="40"/>
      <c r="E83" s="41" t="e">
        <f t="shared" si="5"/>
        <v>#DIV/0!</v>
      </c>
      <c r="F83" s="86"/>
      <c r="G83" s="79"/>
      <c r="H83" s="40"/>
      <c r="I83" s="41" t="e">
        <f t="shared" si="6"/>
        <v>#DIV/0!</v>
      </c>
      <c r="J83" s="45"/>
    </row>
    <row r="84" spans="1:10" x14ac:dyDescent="0.2">
      <c r="A84" s="34"/>
      <c r="B84" s="35"/>
      <c r="C84" s="29"/>
      <c r="D84" s="36"/>
      <c r="E84" s="37"/>
      <c r="F84" s="38"/>
    </row>
    <row r="85" spans="1:10" x14ac:dyDescent="0.2">
      <c r="A85" s="4" t="str">
        <f>VLOOKUP("&lt;Quelle_1&gt;",Uebersetzungen!$B$4:$E$85,Uebersetzungen!$B$2+1,FALSE)</f>
        <v>Quelle: BFS (HESTA)</v>
      </c>
    </row>
    <row r="86" spans="1:10" ht="12.75" customHeight="1" x14ac:dyDescent="0.2">
      <c r="A86" s="4" t="str">
        <f>VLOOKUP("&lt;T4Aktualisierung&gt;",Uebersetzungen!$B$4:$E$303,Uebersetzungen!$B$2+1,FALSE)</f>
        <v>Letztmals aktualisiert am: 22.02.2024</v>
      </c>
    </row>
    <row r="87" spans="1:10" x14ac:dyDescent="0.2">
      <c r="A87" s="4" t="str">
        <f>VLOOKUP("&lt;Legende_2&gt;",Uebersetzungen!$B$4:$E$85,Uebersetzungen!$B$2+1,FALSE)</f>
        <v>Kontakt: Luzius Stricker, 081 257 23 74, luzius.stricker@awt.gr.ch</v>
      </c>
    </row>
    <row r="88" spans="1:10" x14ac:dyDescent="0.2">
      <c r="A88" s="31" t="str">
        <f>VLOOKUP("&lt;T4Legende_3&gt;",Uebersetzungen!$B$4:$E$303,Uebersetzungen!$B$2+1,FALSE)</f>
        <v>Daten des Mai 2023 erscheinen am 6. Juli 2023.</v>
      </c>
    </row>
    <row r="90" spans="1:10" x14ac:dyDescent="0.2">
      <c r="A90" s="4" t="s">
        <v>57</v>
      </c>
    </row>
  </sheetData>
  <mergeCells count="1">
    <mergeCell ref="A7:D7"/>
  </mergeCells>
  <hyperlinks>
    <hyperlink ref="E63" r:id="rId1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  <rowBreaks count="2" manualBreakCount="2">
    <brk id="38" max="9" man="1"/>
    <brk id="65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1</xdr:row>
                    <xdr:rowOff>114300</xdr:rowOff>
                  </from>
                  <to>
                    <xdr:col>7</xdr:col>
                    <xdr:colOff>419100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Option Button 2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104775</xdr:rowOff>
                  </from>
                  <to>
                    <xdr:col>7</xdr:col>
                    <xdr:colOff>800100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Option Button 3">
              <controlPr defaultSize="0" autoFill="0" autoLine="0" autoPict="0">
                <anchor moveWithCells="1">
                  <from>
                    <xdr:col>6</xdr:col>
                    <xdr:colOff>219075</xdr:colOff>
                    <xdr:row>3</xdr:row>
                    <xdr:rowOff>66675</xdr:rowOff>
                  </from>
                  <to>
                    <xdr:col>7</xdr:col>
                    <xdr:colOff>419100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1001</Benutzerdefinierte_x0020_ID>
    <Kategorie xmlns="a85bdc46-611b-4a7e-936f-e8248c6e1bca">Beherbergungsstatistik</Kategorie>
    <Titel_DE xmlns="a85bdc46-611b-4a7e-936f-e8248c6e1bca">Beherbergungsstatistik Graubünden, Monatsdaten 2024</Titel_DE>
    <PublishingExpirationDate xmlns="http://schemas.microsoft.com/sharepoint/v3" xsi:nil="true"/>
    <PublishingStartDate xmlns="http://schemas.microsoft.com/sharepoint/v3" xsi:nil="true"/>
    <Titel_IT xmlns="a85bdc46-611b-4a7e-936f-e8248c6e1bca">Statistica della ricettività turistica nei Grigioni, dati mensili 2024</Titel_IT>
    <Titel_RM xmlns="a85bdc46-611b-4a7e-936f-e8248c6e1bca">Statistica dals alloschaments dal Grischun, datas mensilas dal 2024</Titel_RM>
  </documentManagement>
</p:properties>
</file>

<file path=customXml/itemProps1.xml><?xml version="1.0" encoding="utf-8"?>
<ds:datastoreItem xmlns:ds="http://schemas.openxmlformats.org/officeDocument/2006/customXml" ds:itemID="{BEF1F4F5-0B07-4722-8359-94CA216F0B91}"/>
</file>

<file path=customXml/itemProps2.xml><?xml version="1.0" encoding="utf-8"?>
<ds:datastoreItem xmlns:ds="http://schemas.openxmlformats.org/officeDocument/2006/customXml" ds:itemID="{BD4B6A0E-6B8C-4A87-A552-8E7E505AFF0C}"/>
</file>

<file path=customXml/itemProps3.xml><?xml version="1.0" encoding="utf-8"?>
<ds:datastoreItem xmlns:ds="http://schemas.openxmlformats.org/officeDocument/2006/customXml" ds:itemID="{9403691B-FA24-475C-94AE-FE3DD9C07E8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Dezember 2024</vt:lpstr>
      <vt:lpstr>November 2024</vt:lpstr>
      <vt:lpstr>Oktober 2024</vt:lpstr>
      <vt:lpstr>September 2024</vt:lpstr>
      <vt:lpstr>August 2024</vt:lpstr>
      <vt:lpstr>Juli 2024</vt:lpstr>
      <vt:lpstr>Juni 2024</vt:lpstr>
      <vt:lpstr>Mai 2024</vt:lpstr>
      <vt:lpstr>April 2024</vt:lpstr>
      <vt:lpstr>März 2024</vt:lpstr>
      <vt:lpstr>Februar 2024</vt:lpstr>
      <vt:lpstr>Januar 2024</vt:lpstr>
      <vt:lpstr>Uebersetzungen</vt:lpstr>
      <vt:lpstr>'April 2024'!Druckbereich</vt:lpstr>
      <vt:lpstr>'August 2024'!Druckbereich</vt:lpstr>
      <vt:lpstr>'Dezember 2024'!Druckbereich</vt:lpstr>
      <vt:lpstr>'Februar 2024'!Druckbereich</vt:lpstr>
      <vt:lpstr>'Januar 2024'!Druckbereich</vt:lpstr>
      <vt:lpstr>'Juli 2024'!Druckbereich</vt:lpstr>
      <vt:lpstr>'Juni 2024'!Druckbereich</vt:lpstr>
      <vt:lpstr>'Mai 2024'!Druckbereich</vt:lpstr>
      <vt:lpstr>'März 2024'!Druckbereich</vt:lpstr>
      <vt:lpstr>'November 2024'!Druckbereich</vt:lpstr>
      <vt:lpstr>'Oktober 2024'!Druckbereich</vt:lpstr>
      <vt:lpstr>'September 2024'!Druckbereich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Beherbergungsstatistik Graubünden Monatsauswertungen</dc:title>
  <dc:creator>Luzius Stricker</dc:creator>
  <cp:lastModifiedBy>Stricker Luzius</cp:lastModifiedBy>
  <cp:lastPrinted>2024-02-14T14:03:02Z</cp:lastPrinted>
  <dcterms:created xsi:type="dcterms:W3CDTF">2012-02-14T12:10:20Z</dcterms:created>
  <dcterms:modified xsi:type="dcterms:W3CDTF">2024-04-05T13:11:08Z</dcterms:modified>
  <cp:category>Beherbergungsstatistik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0x01010061C7E3B5B685244E9F316DC5AF52F3F3</vt:lpwstr>
  </property>
</Properties>
</file>