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2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1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6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docProps/core.xml" ContentType="application/vnd.openxmlformats-package.core-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ctrlProps/ctrlProp35.xml" ContentType="application/vnd.ms-excel.controlproperties+xml"/>
  <Override PartName="/xl/ctrlProps/ctrlProp34.xml" ContentType="application/vnd.ms-excel.controlproperties+xml"/>
  <Override PartName="/xl/ctrlProps/ctrlProp36.xml" ContentType="application/vnd.ms-excel.controlproperties+xml"/>
  <Override PartName="/xl/ctrlProps/ctrlProp3.xml" ContentType="application/vnd.ms-excel.controlproperties+xml"/>
  <Override PartName="/xl/ctrlProps/ctrlProp6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33.xml" ContentType="application/vnd.ms-excel.controlproperties+xml"/>
  <Override PartName="/xl/ctrlProps/ctrlProp13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11.xml" ContentType="application/vnd.ms-excel.controlproperties+xml"/>
  <Override PartName="/xl/ctrlProps/ctrlProp10.xml" ContentType="application/vnd.ms-excel.controlproperties+xml"/>
  <Override PartName="/xl/ctrlProps/ctrlProp22.xml" ContentType="application/vnd.ms-excel.controlproperties+xml"/>
  <Override PartName="/xl/ctrlProps/ctrlProp19.xml" ContentType="application/vnd.ms-excel.controlproperties+xml"/>
  <Override PartName="/xl/ctrlProps/ctrlProp1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30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9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10 TOURISMUS\HESTA ab 2017\Monatsdaten\Monatsauswertungen 2024\"/>
    </mc:Choice>
  </mc:AlternateContent>
  <workbookProtection lockStructure="1"/>
  <bookViews>
    <workbookView xWindow="14505" yWindow="-15" windowWidth="14310" windowHeight="14700"/>
  </bookViews>
  <sheets>
    <sheet name="Dezember 2024" sheetId="18" r:id="rId1"/>
    <sheet name="November 2024" sheetId="17" r:id="rId2"/>
    <sheet name="Oktober 2024" sheetId="16" r:id="rId3"/>
    <sheet name="September 2024" sheetId="15" r:id="rId4"/>
    <sheet name="August 2024" sheetId="14" r:id="rId5"/>
    <sheet name="Juli 2024" sheetId="13" r:id="rId6"/>
    <sheet name="Juni 2024" sheetId="12" r:id="rId7"/>
    <sheet name="Mai 2024" sheetId="11" r:id="rId8"/>
    <sheet name="April 2024" sheetId="10" r:id="rId9"/>
    <sheet name="März 2024" sheetId="9" r:id="rId10"/>
    <sheet name="Februar 2024" sheetId="7" r:id="rId11"/>
    <sheet name="Januar 2024" sheetId="6" r:id="rId12"/>
    <sheet name="Uebersetzungen" sheetId="5" state="hidden" r:id="rId13"/>
  </sheets>
  <definedNames>
    <definedName name="_xlnm.Print_Area" localSheetId="8">'April 2024'!$A$1:$J$88</definedName>
    <definedName name="_xlnm.Print_Area" localSheetId="4">'August 2024'!$A$1:$J$88</definedName>
    <definedName name="_xlnm.Print_Area" localSheetId="0">'Dezember 2024'!$A$1:$J$88</definedName>
    <definedName name="_xlnm.Print_Area" localSheetId="10">'Februar 2024'!$A$1:$J$88</definedName>
    <definedName name="_xlnm.Print_Area" localSheetId="11">'Januar 2024'!$A$1:$J$88</definedName>
    <definedName name="_xlnm.Print_Area" localSheetId="5">'Juli 2024'!$A$1:$J$88</definedName>
    <definedName name="_xlnm.Print_Area" localSheetId="6">'Juni 2024'!$A$1:$J$88</definedName>
    <definedName name="_xlnm.Print_Area" localSheetId="7">'Mai 2024'!$A$1:$J$88</definedName>
    <definedName name="_xlnm.Print_Area" localSheetId="9">'März 2024'!$A$1:$J$88</definedName>
    <definedName name="_xlnm.Print_Area" localSheetId="1">'November 2024'!$A$1:$J$88</definedName>
    <definedName name="_xlnm.Print_Area" localSheetId="2">'Oktober 2024'!$A$1:$J$88</definedName>
    <definedName name="_xlnm.Print_Area" localSheetId="3">'September 2024'!$A$1:$J$88</definedName>
  </definedNames>
  <calcPr calcId="162913"/>
</workbook>
</file>

<file path=xl/calcChain.xml><?xml version="1.0" encoding="utf-8"?>
<calcChain xmlns="http://schemas.openxmlformats.org/spreadsheetml/2006/main">
  <c r="I70" i="11" l="1"/>
  <c r="A67" i="6" l="1"/>
  <c r="A40" i="6"/>
  <c r="A10" i="6"/>
  <c r="A67" i="7"/>
  <c r="A40" i="7"/>
  <c r="A10" i="7"/>
  <c r="A67" i="9"/>
  <c r="A40" i="9"/>
  <c r="A10" i="9"/>
  <c r="A67" i="10"/>
  <c r="A40" i="10"/>
  <c r="A10" i="10"/>
  <c r="A67" i="11"/>
  <c r="A40" i="11"/>
  <c r="A10" i="11"/>
  <c r="A67" i="12"/>
  <c r="A40" i="12"/>
  <c r="A10" i="12"/>
  <c r="A67" i="13"/>
  <c r="A40" i="13"/>
  <c r="A10" i="13"/>
  <c r="A67" i="14"/>
  <c r="A40" i="14"/>
  <c r="A10" i="14"/>
  <c r="A67" i="15"/>
  <c r="A40" i="15"/>
  <c r="A10" i="15"/>
  <c r="A67" i="16"/>
  <c r="A40" i="16"/>
  <c r="A10" i="16"/>
  <c r="A67" i="17"/>
  <c r="A40" i="17"/>
  <c r="A10" i="17"/>
  <c r="A67" i="18"/>
  <c r="A40" i="18"/>
  <c r="A10" i="18"/>
  <c r="A9" i="18"/>
  <c r="E232" i="5" l="1"/>
  <c r="E231" i="5"/>
  <c r="E229" i="5"/>
  <c r="E228" i="5"/>
  <c r="E227" i="5"/>
  <c r="D232" i="5"/>
  <c r="D231" i="5"/>
  <c r="D229" i="5"/>
  <c r="D228" i="5"/>
  <c r="D227" i="5"/>
  <c r="C232" i="5"/>
  <c r="C231" i="5"/>
  <c r="C12" i="18" s="1"/>
  <c r="C229" i="5"/>
  <c r="A66" i="18" s="1"/>
  <c r="C228" i="5"/>
  <c r="C227" i="5"/>
  <c r="E218" i="5"/>
  <c r="E217" i="5"/>
  <c r="E215" i="5"/>
  <c r="E214" i="5"/>
  <c r="E213" i="5"/>
  <c r="D218" i="5"/>
  <c r="D217" i="5"/>
  <c r="D215" i="5"/>
  <c r="D214" i="5"/>
  <c r="D213" i="5"/>
  <c r="C218" i="5"/>
  <c r="C217" i="5"/>
  <c r="C42" i="17" s="1"/>
  <c r="C215" i="5"/>
  <c r="C214" i="5"/>
  <c r="A39" i="17" s="1"/>
  <c r="C213" i="5"/>
  <c r="E204" i="5"/>
  <c r="E203" i="5"/>
  <c r="E201" i="5"/>
  <c r="E200" i="5"/>
  <c r="E199" i="5"/>
  <c r="D204" i="5"/>
  <c r="D203" i="5"/>
  <c r="D201" i="5"/>
  <c r="D200" i="5"/>
  <c r="D199" i="5"/>
  <c r="C204" i="5"/>
  <c r="C203" i="5"/>
  <c r="C201" i="5"/>
  <c r="C200" i="5"/>
  <c r="A39" i="16" s="1"/>
  <c r="C199" i="5"/>
  <c r="E190" i="5"/>
  <c r="E189" i="5"/>
  <c r="E187" i="5"/>
  <c r="E186" i="5"/>
  <c r="E185" i="5"/>
  <c r="D190" i="5"/>
  <c r="D189" i="5"/>
  <c r="D187" i="5"/>
  <c r="D186" i="5"/>
  <c r="D185" i="5"/>
  <c r="C190" i="5"/>
  <c r="D69" i="15" s="1"/>
  <c r="C189" i="5"/>
  <c r="C42" i="15" s="1"/>
  <c r="C187" i="5"/>
  <c r="C186" i="5"/>
  <c r="C185" i="5"/>
  <c r="E176" i="5"/>
  <c r="E175" i="5"/>
  <c r="E173" i="5"/>
  <c r="E172" i="5"/>
  <c r="E171" i="5"/>
  <c r="D176" i="5"/>
  <c r="D175" i="5"/>
  <c r="D173" i="5"/>
  <c r="D172" i="5"/>
  <c r="D171" i="5"/>
  <c r="C176" i="5"/>
  <c r="D42" i="14" s="1"/>
  <c r="C175" i="5"/>
  <c r="C173" i="5"/>
  <c r="C172" i="5"/>
  <c r="C171" i="5"/>
  <c r="E162" i="5"/>
  <c r="E161" i="5"/>
  <c r="E159" i="5"/>
  <c r="E158" i="5"/>
  <c r="E157" i="5"/>
  <c r="D162" i="5"/>
  <c r="D161" i="5"/>
  <c r="D159" i="5"/>
  <c r="D158" i="5"/>
  <c r="D157" i="5"/>
  <c r="C162" i="5"/>
  <c r="C161" i="5"/>
  <c r="C159" i="5"/>
  <c r="C158" i="5"/>
  <c r="C157" i="5"/>
  <c r="A66" i="13"/>
  <c r="E150" i="5"/>
  <c r="E148" i="5"/>
  <c r="E147" i="5"/>
  <c r="E145" i="5"/>
  <c r="E144" i="5"/>
  <c r="E143" i="5"/>
  <c r="D149" i="5"/>
  <c r="D148" i="5"/>
  <c r="D147" i="5"/>
  <c r="D145" i="5"/>
  <c r="D144" i="5"/>
  <c r="D143" i="5"/>
  <c r="D133" i="5"/>
  <c r="C149" i="5"/>
  <c r="G69" i="12" s="1"/>
  <c r="C148" i="5"/>
  <c r="D69" i="12" s="1"/>
  <c r="C147" i="5"/>
  <c r="C145" i="5"/>
  <c r="C144" i="5"/>
  <c r="C143" i="5"/>
  <c r="A9" i="12" s="1"/>
  <c r="A66" i="12"/>
  <c r="E135" i="5"/>
  <c r="E134" i="5"/>
  <c r="E133" i="5"/>
  <c r="E131" i="5"/>
  <c r="E130" i="5"/>
  <c r="E129" i="5"/>
  <c r="D136" i="5"/>
  <c r="D134" i="5"/>
  <c r="D131" i="5"/>
  <c r="D130" i="5"/>
  <c r="D129" i="5"/>
  <c r="E120" i="5"/>
  <c r="E119" i="5"/>
  <c r="E117" i="5"/>
  <c r="E116" i="5"/>
  <c r="E115" i="5"/>
  <c r="D120" i="5"/>
  <c r="D119" i="5"/>
  <c r="D117" i="5"/>
  <c r="D116" i="5"/>
  <c r="D115" i="5"/>
  <c r="C135" i="5"/>
  <c r="G42" i="11" s="1"/>
  <c r="C134" i="5"/>
  <c r="D69" i="11" s="1"/>
  <c r="C133" i="5"/>
  <c r="C12" i="11" s="1"/>
  <c r="C116" i="5"/>
  <c r="A39" i="10" s="1"/>
  <c r="C117" i="5"/>
  <c r="C131" i="5"/>
  <c r="C130" i="5"/>
  <c r="C129" i="5"/>
  <c r="A39" i="11"/>
  <c r="C120" i="5"/>
  <c r="D42" i="10" s="1"/>
  <c r="C119" i="5"/>
  <c r="C42" i="10" s="1"/>
  <c r="C115" i="5"/>
  <c r="A9" i="10" s="1"/>
  <c r="A66" i="10"/>
  <c r="E106" i="5"/>
  <c r="E105" i="5"/>
  <c r="E103" i="5"/>
  <c r="E102" i="5"/>
  <c r="E101" i="5"/>
  <c r="D103" i="5"/>
  <c r="D102" i="5"/>
  <c r="D101" i="5"/>
  <c r="D106" i="5"/>
  <c r="D108" i="5"/>
  <c r="D107" i="5"/>
  <c r="D105" i="5"/>
  <c r="C106" i="5"/>
  <c r="D42" i="9" s="1"/>
  <c r="C105" i="5"/>
  <c r="C42" i="9" s="1"/>
  <c r="C103" i="5"/>
  <c r="C102" i="5"/>
  <c r="A39" i="9" s="1"/>
  <c r="C101" i="5"/>
  <c r="A66" i="9"/>
  <c r="E94" i="5"/>
  <c r="E92" i="5"/>
  <c r="E91" i="5"/>
  <c r="E89" i="5"/>
  <c r="E88" i="5"/>
  <c r="E87" i="5"/>
  <c r="D94" i="5"/>
  <c r="D93" i="5"/>
  <c r="D92" i="5"/>
  <c r="D91" i="5"/>
  <c r="D89" i="5"/>
  <c r="D88" i="5"/>
  <c r="D87" i="5"/>
  <c r="C89" i="5"/>
  <c r="C88" i="5"/>
  <c r="C87" i="5"/>
  <c r="C92" i="5"/>
  <c r="C91" i="5"/>
  <c r="E12" i="5"/>
  <c r="E11" i="5"/>
  <c r="E9" i="5"/>
  <c r="E8" i="5"/>
  <c r="E7" i="5"/>
  <c r="D12" i="5"/>
  <c r="D11" i="5"/>
  <c r="D9" i="5"/>
  <c r="D8" i="5"/>
  <c r="D7" i="5"/>
  <c r="C12" i="5"/>
  <c r="C11" i="5"/>
  <c r="C9" i="5"/>
  <c r="C8" i="5"/>
  <c r="C7" i="5"/>
  <c r="D3" i="5"/>
  <c r="C13" i="5" s="1"/>
  <c r="A88" i="18"/>
  <c r="A86" i="18"/>
  <c r="A39" i="18"/>
  <c r="J69" i="18"/>
  <c r="F69" i="18"/>
  <c r="D69" i="18"/>
  <c r="C69" i="18"/>
  <c r="J42" i="18"/>
  <c r="F42" i="18"/>
  <c r="D42" i="18"/>
  <c r="D12" i="18"/>
  <c r="A87" i="18"/>
  <c r="A85" i="18"/>
  <c r="I83" i="18"/>
  <c r="E83" i="18"/>
  <c r="A83" i="18"/>
  <c r="I82" i="18"/>
  <c r="E82" i="18"/>
  <c r="A82" i="18"/>
  <c r="I81" i="18"/>
  <c r="E81" i="18"/>
  <c r="A81" i="18"/>
  <c r="I80" i="18"/>
  <c r="E80" i="18"/>
  <c r="A80" i="18"/>
  <c r="I79" i="18"/>
  <c r="E79" i="18"/>
  <c r="A79" i="18"/>
  <c r="I78" i="18"/>
  <c r="E78" i="18"/>
  <c r="A78" i="18"/>
  <c r="I77" i="18"/>
  <c r="E77" i="18"/>
  <c r="A77" i="18"/>
  <c r="I76" i="18"/>
  <c r="E76" i="18"/>
  <c r="A76" i="18"/>
  <c r="I75" i="18"/>
  <c r="E75" i="18"/>
  <c r="A75" i="18"/>
  <c r="I74" i="18"/>
  <c r="E74" i="18"/>
  <c r="A74" i="18"/>
  <c r="I73" i="18"/>
  <c r="E73" i="18"/>
  <c r="A73" i="18"/>
  <c r="I72" i="18"/>
  <c r="E72" i="18"/>
  <c r="A72" i="18"/>
  <c r="I71" i="18"/>
  <c r="E71" i="18"/>
  <c r="A71" i="18"/>
  <c r="I70" i="18"/>
  <c r="E70" i="18"/>
  <c r="A70" i="18"/>
  <c r="A63" i="18"/>
  <c r="I61" i="18"/>
  <c r="E61" i="18"/>
  <c r="A61" i="18"/>
  <c r="I60" i="18"/>
  <c r="E60" i="18"/>
  <c r="A60" i="18"/>
  <c r="I59" i="18"/>
  <c r="E59" i="18"/>
  <c r="A59" i="18"/>
  <c r="I58" i="18"/>
  <c r="E58" i="18"/>
  <c r="A58" i="18"/>
  <c r="I57" i="18"/>
  <c r="E57" i="18"/>
  <c r="A57" i="18"/>
  <c r="I56" i="18"/>
  <c r="E56" i="18"/>
  <c r="A56" i="18"/>
  <c r="I55" i="18"/>
  <c r="E55" i="18"/>
  <c r="A55" i="18"/>
  <c r="I54" i="18"/>
  <c r="E54" i="18"/>
  <c r="A54" i="18"/>
  <c r="I53" i="18"/>
  <c r="E53" i="18"/>
  <c r="A53" i="18"/>
  <c r="I52" i="18"/>
  <c r="E52" i="18"/>
  <c r="A52" i="18"/>
  <c r="I51" i="18"/>
  <c r="E51" i="18"/>
  <c r="A51" i="18"/>
  <c r="I50" i="18"/>
  <c r="E50" i="18"/>
  <c r="A50" i="18"/>
  <c r="I49" i="18"/>
  <c r="E49" i="18"/>
  <c r="A49" i="18"/>
  <c r="I48" i="18"/>
  <c r="E48" i="18"/>
  <c r="A48" i="18"/>
  <c r="I47" i="18"/>
  <c r="E47" i="18"/>
  <c r="A47" i="18"/>
  <c r="I46" i="18"/>
  <c r="E46" i="18"/>
  <c r="A46" i="18"/>
  <c r="I45" i="18"/>
  <c r="E45" i="18"/>
  <c r="A45" i="18"/>
  <c r="I44" i="18"/>
  <c r="E44" i="18"/>
  <c r="A44" i="18"/>
  <c r="I43" i="18"/>
  <c r="E43" i="18"/>
  <c r="A43" i="18"/>
  <c r="J36" i="18"/>
  <c r="H36" i="18"/>
  <c r="H35" i="18" s="1"/>
  <c r="G36" i="18"/>
  <c r="F36" i="18"/>
  <c r="D36" i="18"/>
  <c r="D35" i="18" s="1"/>
  <c r="C36" i="18"/>
  <c r="C35" i="18" s="1"/>
  <c r="A36" i="18"/>
  <c r="G35" i="18"/>
  <c r="A35" i="18"/>
  <c r="I34" i="18"/>
  <c r="E34" i="18"/>
  <c r="A34" i="18"/>
  <c r="I33" i="18"/>
  <c r="E33" i="18"/>
  <c r="A33" i="18"/>
  <c r="I32" i="18"/>
  <c r="E32" i="18"/>
  <c r="A32" i="18"/>
  <c r="I31" i="18"/>
  <c r="E31" i="18"/>
  <c r="A31" i="18"/>
  <c r="I30" i="18"/>
  <c r="E30" i="18"/>
  <c r="A30" i="18"/>
  <c r="I29" i="18"/>
  <c r="E29" i="18"/>
  <c r="A29" i="18"/>
  <c r="I28" i="18"/>
  <c r="E28" i="18"/>
  <c r="A28" i="18"/>
  <c r="I27" i="18"/>
  <c r="E27" i="18"/>
  <c r="A27" i="18"/>
  <c r="I26" i="18"/>
  <c r="E26" i="18"/>
  <c r="A26" i="18"/>
  <c r="I25" i="18"/>
  <c r="E25" i="18"/>
  <c r="A25" i="18"/>
  <c r="I24" i="18"/>
  <c r="E24" i="18"/>
  <c r="A24" i="18"/>
  <c r="I23" i="18"/>
  <c r="E23" i="18"/>
  <c r="A23" i="18"/>
  <c r="I22" i="18"/>
  <c r="E22" i="18"/>
  <c r="A22" i="18"/>
  <c r="I21" i="18"/>
  <c r="E21" i="18"/>
  <c r="A21" i="18"/>
  <c r="I20" i="18"/>
  <c r="E20" i="18"/>
  <c r="A20" i="18"/>
  <c r="I19" i="18"/>
  <c r="E19" i="18"/>
  <c r="A19" i="18"/>
  <c r="I18" i="18"/>
  <c r="E18" i="18"/>
  <c r="A18" i="18"/>
  <c r="I17" i="18"/>
  <c r="E17" i="18"/>
  <c r="A17" i="18"/>
  <c r="I16" i="18"/>
  <c r="E16" i="18"/>
  <c r="A16" i="18"/>
  <c r="I15" i="18"/>
  <c r="E15" i="18"/>
  <c r="A15" i="18"/>
  <c r="I14" i="18"/>
  <c r="E14" i="18"/>
  <c r="A14" i="18"/>
  <c r="I13" i="18"/>
  <c r="E13" i="18"/>
  <c r="A13" i="18"/>
  <c r="J12" i="18"/>
  <c r="F12" i="18"/>
  <c r="A7" i="18"/>
  <c r="A88" i="17"/>
  <c r="A86" i="17"/>
  <c r="A66" i="17"/>
  <c r="J69" i="17"/>
  <c r="F69" i="17"/>
  <c r="D69" i="17"/>
  <c r="J42" i="17"/>
  <c r="F42" i="17"/>
  <c r="D42" i="17"/>
  <c r="D12" i="17"/>
  <c r="A9" i="17"/>
  <c r="A87" i="17"/>
  <c r="A85" i="17"/>
  <c r="I83" i="17"/>
  <c r="E83" i="17"/>
  <c r="A83" i="17"/>
  <c r="I82" i="17"/>
  <c r="E82" i="17"/>
  <c r="A82" i="17"/>
  <c r="I81" i="17"/>
  <c r="E81" i="17"/>
  <c r="A81" i="17"/>
  <c r="I80" i="17"/>
  <c r="E80" i="17"/>
  <c r="A80" i="17"/>
  <c r="I79" i="17"/>
  <c r="E79" i="17"/>
  <c r="A79" i="17"/>
  <c r="I78" i="17"/>
  <c r="E78" i="17"/>
  <c r="A78" i="17"/>
  <c r="I77" i="17"/>
  <c r="E77" i="17"/>
  <c r="A77" i="17"/>
  <c r="I76" i="17"/>
  <c r="E76" i="17"/>
  <c r="A76" i="17"/>
  <c r="I75" i="17"/>
  <c r="E75" i="17"/>
  <c r="A75" i="17"/>
  <c r="I74" i="17"/>
  <c r="E74" i="17"/>
  <c r="A74" i="17"/>
  <c r="I73" i="17"/>
  <c r="E73" i="17"/>
  <c r="A73" i="17"/>
  <c r="I72" i="17"/>
  <c r="E72" i="17"/>
  <c r="A72" i="17"/>
  <c r="I71" i="17"/>
  <c r="E71" i="17"/>
  <c r="A71" i="17"/>
  <c r="I70" i="17"/>
  <c r="E70" i="17"/>
  <c r="A70" i="17"/>
  <c r="A63" i="17"/>
  <c r="I61" i="17"/>
  <c r="E61" i="17"/>
  <c r="A61" i="17"/>
  <c r="I60" i="17"/>
  <c r="E60" i="17"/>
  <c r="A60" i="17"/>
  <c r="I59" i="17"/>
  <c r="E59" i="17"/>
  <c r="A59" i="17"/>
  <c r="I58" i="17"/>
  <c r="E58" i="17"/>
  <c r="A58" i="17"/>
  <c r="I57" i="17"/>
  <c r="E57" i="17"/>
  <c r="A57" i="17"/>
  <c r="I56" i="17"/>
  <c r="E56" i="17"/>
  <c r="A56" i="17"/>
  <c r="I55" i="17"/>
  <c r="E55" i="17"/>
  <c r="A55" i="17"/>
  <c r="I54" i="17"/>
  <c r="E54" i="17"/>
  <c r="A54" i="17"/>
  <c r="I53" i="17"/>
  <c r="E53" i="17"/>
  <c r="A53" i="17"/>
  <c r="I52" i="17"/>
  <c r="E52" i="17"/>
  <c r="A52" i="17"/>
  <c r="I51" i="17"/>
  <c r="E51" i="17"/>
  <c r="A51" i="17"/>
  <c r="I50" i="17"/>
  <c r="E50" i="17"/>
  <c r="A50" i="17"/>
  <c r="I49" i="17"/>
  <c r="E49" i="17"/>
  <c r="A49" i="17"/>
  <c r="I48" i="17"/>
  <c r="E48" i="17"/>
  <c r="A48" i="17"/>
  <c r="I47" i="17"/>
  <c r="E47" i="17"/>
  <c r="A47" i="17"/>
  <c r="I46" i="17"/>
  <c r="E46" i="17"/>
  <c r="A46" i="17"/>
  <c r="I45" i="17"/>
  <c r="E45" i="17"/>
  <c r="A45" i="17"/>
  <c r="I44" i="17"/>
  <c r="E44" i="17"/>
  <c r="A44" i="17"/>
  <c r="I43" i="17"/>
  <c r="E43" i="17"/>
  <c r="A43" i="17"/>
  <c r="J36" i="17"/>
  <c r="H36" i="17"/>
  <c r="I36" i="17" s="1"/>
  <c r="G36" i="17"/>
  <c r="G35" i="17" s="1"/>
  <c r="F36" i="17"/>
  <c r="D36" i="17"/>
  <c r="D35" i="17" s="1"/>
  <c r="C36" i="17"/>
  <c r="C35" i="17" s="1"/>
  <c r="A36" i="17"/>
  <c r="H35" i="17"/>
  <c r="A35" i="17"/>
  <c r="I34" i="17"/>
  <c r="E34" i="17"/>
  <c r="A34" i="17"/>
  <c r="I33" i="17"/>
  <c r="E33" i="17"/>
  <c r="A33" i="17"/>
  <c r="I32" i="17"/>
  <c r="E32" i="17"/>
  <c r="A32" i="17"/>
  <c r="I31" i="17"/>
  <c r="E31" i="17"/>
  <c r="A31" i="17"/>
  <c r="I30" i="17"/>
  <c r="E30" i="17"/>
  <c r="A30" i="17"/>
  <c r="I29" i="17"/>
  <c r="E29" i="17"/>
  <c r="A29" i="17"/>
  <c r="I28" i="17"/>
  <c r="E28" i="17"/>
  <c r="A28" i="17"/>
  <c r="I27" i="17"/>
  <c r="E27" i="17"/>
  <c r="A27" i="17"/>
  <c r="I26" i="17"/>
  <c r="E26" i="17"/>
  <c r="A26" i="17"/>
  <c r="I25" i="17"/>
  <c r="E25" i="17"/>
  <c r="A25" i="17"/>
  <c r="I24" i="17"/>
  <c r="E24" i="17"/>
  <c r="A24" i="17"/>
  <c r="I23" i="17"/>
  <c r="E23" i="17"/>
  <c r="A23" i="17"/>
  <c r="I22" i="17"/>
  <c r="E22" i="17"/>
  <c r="A22" i="17"/>
  <c r="I21" i="17"/>
  <c r="E21" i="17"/>
  <c r="A21" i="17"/>
  <c r="I20" i="17"/>
  <c r="E20" i="17"/>
  <c r="A20" i="17"/>
  <c r="I19" i="17"/>
  <c r="E19" i="17"/>
  <c r="A19" i="17"/>
  <c r="I18" i="17"/>
  <c r="E18" i="17"/>
  <c r="A18" i="17"/>
  <c r="I17" i="17"/>
  <c r="E17" i="17"/>
  <c r="A17" i="17"/>
  <c r="I16" i="17"/>
  <c r="E16" i="17"/>
  <c r="A16" i="17"/>
  <c r="I15" i="17"/>
  <c r="E15" i="17"/>
  <c r="A15" i="17"/>
  <c r="I14" i="17"/>
  <c r="E14" i="17"/>
  <c r="A14" i="17"/>
  <c r="I13" i="17"/>
  <c r="E13" i="17"/>
  <c r="A13" i="17"/>
  <c r="J12" i="17"/>
  <c r="F12" i="17"/>
  <c r="A7" i="17"/>
  <c r="A88" i="16"/>
  <c r="A86" i="16"/>
  <c r="A66" i="16"/>
  <c r="J69" i="16"/>
  <c r="F69" i="16"/>
  <c r="D69" i="16"/>
  <c r="C69" i="16"/>
  <c r="J42" i="16"/>
  <c r="F42" i="16"/>
  <c r="D42" i="16"/>
  <c r="C42" i="16"/>
  <c r="D12" i="16"/>
  <c r="C12" i="16"/>
  <c r="A9" i="16"/>
  <c r="A87" i="16"/>
  <c r="A85" i="16"/>
  <c r="I83" i="16"/>
  <c r="E83" i="16"/>
  <c r="A83" i="16"/>
  <c r="I82" i="16"/>
  <c r="E82" i="16"/>
  <c r="A82" i="16"/>
  <c r="I81" i="16"/>
  <c r="E81" i="16"/>
  <c r="A81" i="16"/>
  <c r="I80" i="16"/>
  <c r="E80" i="16"/>
  <c r="A80" i="16"/>
  <c r="I79" i="16"/>
  <c r="E79" i="16"/>
  <c r="A79" i="16"/>
  <c r="I78" i="16"/>
  <c r="E78" i="16"/>
  <c r="A78" i="16"/>
  <c r="I77" i="16"/>
  <c r="E77" i="16"/>
  <c r="A77" i="16"/>
  <c r="I76" i="16"/>
  <c r="E76" i="16"/>
  <c r="A76" i="16"/>
  <c r="I75" i="16"/>
  <c r="E75" i="16"/>
  <c r="A75" i="16"/>
  <c r="I74" i="16"/>
  <c r="E74" i="16"/>
  <c r="A74" i="16"/>
  <c r="I73" i="16"/>
  <c r="E73" i="16"/>
  <c r="A73" i="16"/>
  <c r="I72" i="16"/>
  <c r="E72" i="16"/>
  <c r="A72" i="16"/>
  <c r="I71" i="16"/>
  <c r="E71" i="16"/>
  <c r="A71" i="16"/>
  <c r="I70" i="16"/>
  <c r="E70" i="16"/>
  <c r="A70" i="16"/>
  <c r="A63" i="16"/>
  <c r="I61" i="16"/>
  <c r="E61" i="16"/>
  <c r="A61" i="16"/>
  <c r="I60" i="16"/>
  <c r="E60" i="16"/>
  <c r="A60" i="16"/>
  <c r="I59" i="16"/>
  <c r="E59" i="16"/>
  <c r="A59" i="16"/>
  <c r="I58" i="16"/>
  <c r="E58" i="16"/>
  <c r="A58" i="16"/>
  <c r="I57" i="16"/>
  <c r="E57" i="16"/>
  <c r="A57" i="16"/>
  <c r="I56" i="16"/>
  <c r="E56" i="16"/>
  <c r="A56" i="16"/>
  <c r="I55" i="16"/>
  <c r="E55" i="16"/>
  <c r="A55" i="16"/>
  <c r="I54" i="16"/>
  <c r="E54" i="16"/>
  <c r="A54" i="16"/>
  <c r="I53" i="16"/>
  <c r="E53" i="16"/>
  <c r="A53" i="16"/>
  <c r="I52" i="16"/>
  <c r="E52" i="16"/>
  <c r="A52" i="16"/>
  <c r="I51" i="16"/>
  <c r="E51" i="16"/>
  <c r="A51" i="16"/>
  <c r="I50" i="16"/>
  <c r="E50" i="16"/>
  <c r="A50" i="16"/>
  <c r="I49" i="16"/>
  <c r="E49" i="16"/>
  <c r="A49" i="16"/>
  <c r="I48" i="16"/>
  <c r="E48" i="16"/>
  <c r="A48" i="16"/>
  <c r="I47" i="16"/>
  <c r="E47" i="16"/>
  <c r="A47" i="16"/>
  <c r="I46" i="16"/>
  <c r="E46" i="16"/>
  <c r="A46" i="16"/>
  <c r="I45" i="16"/>
  <c r="E45" i="16"/>
  <c r="A45" i="16"/>
  <c r="I44" i="16"/>
  <c r="E44" i="16"/>
  <c r="A44" i="16"/>
  <c r="I43" i="16"/>
  <c r="E43" i="16"/>
  <c r="A43" i="16"/>
  <c r="J36" i="16"/>
  <c r="H36" i="16"/>
  <c r="G36" i="16"/>
  <c r="F36" i="16"/>
  <c r="D36" i="16"/>
  <c r="D35" i="16" s="1"/>
  <c r="C36" i="16"/>
  <c r="C35" i="16" s="1"/>
  <c r="A36" i="16"/>
  <c r="H35" i="16"/>
  <c r="G35" i="16"/>
  <c r="A35" i="16"/>
  <c r="I34" i="16"/>
  <c r="E34" i="16"/>
  <c r="A34" i="16"/>
  <c r="I33" i="16"/>
  <c r="E33" i="16"/>
  <c r="A33" i="16"/>
  <c r="I32" i="16"/>
  <c r="E32" i="16"/>
  <c r="A32" i="16"/>
  <c r="I31" i="16"/>
  <c r="E31" i="16"/>
  <c r="A31" i="16"/>
  <c r="I30" i="16"/>
  <c r="E30" i="16"/>
  <c r="A30" i="16"/>
  <c r="I29" i="16"/>
  <c r="E29" i="16"/>
  <c r="A29" i="16"/>
  <c r="I28" i="16"/>
  <c r="E28" i="16"/>
  <c r="A28" i="16"/>
  <c r="I27" i="16"/>
  <c r="E27" i="16"/>
  <c r="A27" i="16"/>
  <c r="I26" i="16"/>
  <c r="E26" i="16"/>
  <c r="A26" i="16"/>
  <c r="I25" i="16"/>
  <c r="E25" i="16"/>
  <c r="A25" i="16"/>
  <c r="I24" i="16"/>
  <c r="E24" i="16"/>
  <c r="A24" i="16"/>
  <c r="I23" i="16"/>
  <c r="E23" i="16"/>
  <c r="A23" i="16"/>
  <c r="I22" i="16"/>
  <c r="E22" i="16"/>
  <c r="A22" i="16"/>
  <c r="I21" i="16"/>
  <c r="E21" i="16"/>
  <c r="A21" i="16"/>
  <c r="I20" i="16"/>
  <c r="E20" i="16"/>
  <c r="A20" i="16"/>
  <c r="I19" i="16"/>
  <c r="E19" i="16"/>
  <c r="A19" i="16"/>
  <c r="I18" i="16"/>
  <c r="E18" i="16"/>
  <c r="A18" i="16"/>
  <c r="I17" i="16"/>
  <c r="E17" i="16"/>
  <c r="A17" i="16"/>
  <c r="I16" i="16"/>
  <c r="E16" i="16"/>
  <c r="A16" i="16"/>
  <c r="I15" i="16"/>
  <c r="E15" i="16"/>
  <c r="A15" i="16"/>
  <c r="I14" i="16"/>
  <c r="E14" i="16"/>
  <c r="A14" i="16"/>
  <c r="I13" i="16"/>
  <c r="E13" i="16"/>
  <c r="A13" i="16"/>
  <c r="J12" i="16"/>
  <c r="F12" i="16"/>
  <c r="A7" i="16"/>
  <c r="A88" i="15"/>
  <c r="A86" i="15"/>
  <c r="A66" i="15"/>
  <c r="A39" i="15"/>
  <c r="J69" i="15"/>
  <c r="F69" i="15"/>
  <c r="J42" i="15"/>
  <c r="F42" i="15"/>
  <c r="D42" i="15"/>
  <c r="A9" i="15"/>
  <c r="A87" i="15"/>
  <c r="A85" i="15"/>
  <c r="I83" i="15"/>
  <c r="E83" i="15"/>
  <c r="A83" i="15"/>
  <c r="I82" i="15"/>
  <c r="E82" i="15"/>
  <c r="A82" i="15"/>
  <c r="I81" i="15"/>
  <c r="E81" i="15"/>
  <c r="A81" i="15"/>
  <c r="I80" i="15"/>
  <c r="E80" i="15"/>
  <c r="A80" i="15"/>
  <c r="I79" i="15"/>
  <c r="E79" i="15"/>
  <c r="A79" i="15"/>
  <c r="I78" i="15"/>
  <c r="E78" i="15"/>
  <c r="A78" i="15"/>
  <c r="I77" i="15"/>
  <c r="E77" i="15"/>
  <c r="A77" i="15"/>
  <c r="I76" i="15"/>
  <c r="E76" i="15"/>
  <c r="A76" i="15"/>
  <c r="I75" i="15"/>
  <c r="E75" i="15"/>
  <c r="A75" i="15"/>
  <c r="I74" i="15"/>
  <c r="E74" i="15"/>
  <c r="A74" i="15"/>
  <c r="I73" i="15"/>
  <c r="E73" i="15"/>
  <c r="A73" i="15"/>
  <c r="I72" i="15"/>
  <c r="E72" i="15"/>
  <c r="A72" i="15"/>
  <c r="I71" i="15"/>
  <c r="E71" i="15"/>
  <c r="A71" i="15"/>
  <c r="I70" i="15"/>
  <c r="E70" i="15"/>
  <c r="A70" i="15"/>
  <c r="A63" i="15"/>
  <c r="I61" i="15"/>
  <c r="E61" i="15"/>
  <c r="A61" i="15"/>
  <c r="I60" i="15"/>
  <c r="E60" i="15"/>
  <c r="A60" i="15"/>
  <c r="I59" i="15"/>
  <c r="E59" i="15"/>
  <c r="A59" i="15"/>
  <c r="I58" i="15"/>
  <c r="E58" i="15"/>
  <c r="A58" i="15"/>
  <c r="I57" i="15"/>
  <c r="E57" i="15"/>
  <c r="A57" i="15"/>
  <c r="I56" i="15"/>
  <c r="E56" i="15"/>
  <c r="A56" i="15"/>
  <c r="I55" i="15"/>
  <c r="E55" i="15"/>
  <c r="A55" i="15"/>
  <c r="I54" i="15"/>
  <c r="E54" i="15"/>
  <c r="A54" i="15"/>
  <c r="I53" i="15"/>
  <c r="E53" i="15"/>
  <c r="A53" i="15"/>
  <c r="I52" i="15"/>
  <c r="E52" i="15"/>
  <c r="A52" i="15"/>
  <c r="I51" i="15"/>
  <c r="E51" i="15"/>
  <c r="A51" i="15"/>
  <c r="I50" i="15"/>
  <c r="E50" i="15"/>
  <c r="A50" i="15"/>
  <c r="I49" i="15"/>
  <c r="E49" i="15"/>
  <c r="A49" i="15"/>
  <c r="I48" i="15"/>
  <c r="E48" i="15"/>
  <c r="A48" i="15"/>
  <c r="I47" i="15"/>
  <c r="E47" i="15"/>
  <c r="A47" i="15"/>
  <c r="I46" i="15"/>
  <c r="E46" i="15"/>
  <c r="A46" i="15"/>
  <c r="I45" i="15"/>
  <c r="E45" i="15"/>
  <c r="A45" i="15"/>
  <c r="I44" i="15"/>
  <c r="E44" i="15"/>
  <c r="A44" i="15"/>
  <c r="I43" i="15"/>
  <c r="E43" i="15"/>
  <c r="A43" i="15"/>
  <c r="J36" i="15"/>
  <c r="H36" i="15"/>
  <c r="H35" i="15" s="1"/>
  <c r="G36" i="15"/>
  <c r="F36" i="15"/>
  <c r="D36" i="15"/>
  <c r="D35" i="15" s="1"/>
  <c r="C36" i="15"/>
  <c r="C35" i="15" s="1"/>
  <c r="A36" i="15"/>
  <c r="A35" i="15"/>
  <c r="I34" i="15"/>
  <c r="E34" i="15"/>
  <c r="A34" i="15"/>
  <c r="I33" i="15"/>
  <c r="E33" i="15"/>
  <c r="A33" i="15"/>
  <c r="I32" i="15"/>
  <c r="E32" i="15"/>
  <c r="A32" i="15"/>
  <c r="I31" i="15"/>
  <c r="E31" i="15"/>
  <c r="A31" i="15"/>
  <c r="I30" i="15"/>
  <c r="E30" i="15"/>
  <c r="A30" i="15"/>
  <c r="I29" i="15"/>
  <c r="E29" i="15"/>
  <c r="A29" i="15"/>
  <c r="I28" i="15"/>
  <c r="E28" i="15"/>
  <c r="A28" i="15"/>
  <c r="I27" i="15"/>
  <c r="E27" i="15"/>
  <c r="A27" i="15"/>
  <c r="I26" i="15"/>
  <c r="E26" i="15"/>
  <c r="A26" i="15"/>
  <c r="I25" i="15"/>
  <c r="E25" i="15"/>
  <c r="A25" i="15"/>
  <c r="I24" i="15"/>
  <c r="E24" i="15"/>
  <c r="A24" i="15"/>
  <c r="I23" i="15"/>
  <c r="E23" i="15"/>
  <c r="A23" i="15"/>
  <c r="I22" i="15"/>
  <c r="E22" i="15"/>
  <c r="A22" i="15"/>
  <c r="I21" i="15"/>
  <c r="E21" i="15"/>
  <c r="A21" i="15"/>
  <c r="I20" i="15"/>
  <c r="E20" i="15"/>
  <c r="A20" i="15"/>
  <c r="I19" i="15"/>
  <c r="E19" i="15"/>
  <c r="A19" i="15"/>
  <c r="I18" i="15"/>
  <c r="E18" i="15"/>
  <c r="A18" i="15"/>
  <c r="I17" i="15"/>
  <c r="E17" i="15"/>
  <c r="A17" i="15"/>
  <c r="I16" i="15"/>
  <c r="E16" i="15"/>
  <c r="A16" i="15"/>
  <c r="I15" i="15"/>
  <c r="E15" i="15"/>
  <c r="A15" i="15"/>
  <c r="I14" i="15"/>
  <c r="E14" i="15"/>
  <c r="A14" i="15"/>
  <c r="I13" i="15"/>
  <c r="E13" i="15"/>
  <c r="A13" i="15"/>
  <c r="J12" i="15"/>
  <c r="F12" i="15"/>
  <c r="A7" i="15"/>
  <c r="A88" i="14"/>
  <c r="A86" i="14"/>
  <c r="A66" i="14"/>
  <c r="A39" i="14"/>
  <c r="J69" i="14"/>
  <c r="F69" i="14"/>
  <c r="C69" i="14"/>
  <c r="J42" i="14"/>
  <c r="F42" i="14"/>
  <c r="C42" i="14"/>
  <c r="C12" i="14"/>
  <c r="A9" i="14"/>
  <c r="A87" i="14"/>
  <c r="A85" i="14"/>
  <c r="I83" i="14"/>
  <c r="E83" i="14"/>
  <c r="A83" i="14"/>
  <c r="I82" i="14"/>
  <c r="E82" i="14"/>
  <c r="A82" i="14"/>
  <c r="I81" i="14"/>
  <c r="E81" i="14"/>
  <c r="A81" i="14"/>
  <c r="I80" i="14"/>
  <c r="E80" i="14"/>
  <c r="A80" i="14"/>
  <c r="I79" i="14"/>
  <c r="E79" i="14"/>
  <c r="A79" i="14"/>
  <c r="I78" i="14"/>
  <c r="E78" i="14"/>
  <c r="A78" i="14"/>
  <c r="I77" i="14"/>
  <c r="E77" i="14"/>
  <c r="A77" i="14"/>
  <c r="I76" i="14"/>
  <c r="E76" i="14"/>
  <c r="A76" i="14"/>
  <c r="I75" i="14"/>
  <c r="E75" i="14"/>
  <c r="A75" i="14"/>
  <c r="I74" i="14"/>
  <c r="E74" i="14"/>
  <c r="A74" i="14"/>
  <c r="I73" i="14"/>
  <c r="E73" i="14"/>
  <c r="A73" i="14"/>
  <c r="I72" i="14"/>
  <c r="E72" i="14"/>
  <c r="A72" i="14"/>
  <c r="I71" i="14"/>
  <c r="E71" i="14"/>
  <c r="A71" i="14"/>
  <c r="I70" i="14"/>
  <c r="E70" i="14"/>
  <c r="A70" i="14"/>
  <c r="A63" i="14"/>
  <c r="I61" i="14"/>
  <c r="E61" i="14"/>
  <c r="A61" i="14"/>
  <c r="I60" i="14"/>
  <c r="E60" i="14"/>
  <c r="A60" i="14"/>
  <c r="I59" i="14"/>
  <c r="E59" i="14"/>
  <c r="A59" i="14"/>
  <c r="I58" i="14"/>
  <c r="E58" i="14"/>
  <c r="A58" i="14"/>
  <c r="I57" i="14"/>
  <c r="E57" i="14"/>
  <c r="A57" i="14"/>
  <c r="I56" i="14"/>
  <c r="E56" i="14"/>
  <c r="A56" i="14"/>
  <c r="I55" i="14"/>
  <c r="E55" i="14"/>
  <c r="A55" i="14"/>
  <c r="I54" i="14"/>
  <c r="E54" i="14"/>
  <c r="A54" i="14"/>
  <c r="I53" i="14"/>
  <c r="E53" i="14"/>
  <c r="A53" i="14"/>
  <c r="I52" i="14"/>
  <c r="E52" i="14"/>
  <c r="A52" i="14"/>
  <c r="I51" i="14"/>
  <c r="E51" i="14"/>
  <c r="A51" i="14"/>
  <c r="I50" i="14"/>
  <c r="E50" i="14"/>
  <c r="A50" i="14"/>
  <c r="I49" i="14"/>
  <c r="E49" i="14"/>
  <c r="A49" i="14"/>
  <c r="I48" i="14"/>
  <c r="E48" i="14"/>
  <c r="A48" i="14"/>
  <c r="I47" i="14"/>
  <c r="E47" i="14"/>
  <c r="A47" i="14"/>
  <c r="I46" i="14"/>
  <c r="E46" i="14"/>
  <c r="A46" i="14"/>
  <c r="I45" i="14"/>
  <c r="E45" i="14"/>
  <c r="A45" i="14"/>
  <c r="I44" i="14"/>
  <c r="E44" i="14"/>
  <c r="A44" i="14"/>
  <c r="I43" i="14"/>
  <c r="E43" i="14"/>
  <c r="A43" i="14"/>
  <c r="J36" i="14"/>
  <c r="H36" i="14"/>
  <c r="H35" i="14" s="1"/>
  <c r="G36" i="14"/>
  <c r="I36" i="14" s="1"/>
  <c r="F36" i="14"/>
  <c r="D36" i="14"/>
  <c r="C36" i="14"/>
  <c r="C35" i="14" s="1"/>
  <c r="A36" i="14"/>
  <c r="A35" i="14"/>
  <c r="I34" i="14"/>
  <c r="E34" i="14"/>
  <c r="A34" i="14"/>
  <c r="I33" i="14"/>
  <c r="E33" i="14"/>
  <c r="A33" i="14"/>
  <c r="I32" i="14"/>
  <c r="E32" i="14"/>
  <c r="A32" i="14"/>
  <c r="I31" i="14"/>
  <c r="E31" i="14"/>
  <c r="A31" i="14"/>
  <c r="I30" i="14"/>
  <c r="E30" i="14"/>
  <c r="A30" i="14"/>
  <c r="I29" i="14"/>
  <c r="E29" i="14"/>
  <c r="A29" i="14"/>
  <c r="I28" i="14"/>
  <c r="E28" i="14"/>
  <c r="A28" i="14"/>
  <c r="I27" i="14"/>
  <c r="E27" i="14"/>
  <c r="A27" i="14"/>
  <c r="I26" i="14"/>
  <c r="E26" i="14"/>
  <c r="A26" i="14"/>
  <c r="I25" i="14"/>
  <c r="E25" i="14"/>
  <c r="A25" i="14"/>
  <c r="I24" i="14"/>
  <c r="E24" i="14"/>
  <c r="A24" i="14"/>
  <c r="I23" i="14"/>
  <c r="E23" i="14"/>
  <c r="A23" i="14"/>
  <c r="I22" i="14"/>
  <c r="E22" i="14"/>
  <c r="A22" i="14"/>
  <c r="I21" i="14"/>
  <c r="E21" i="14"/>
  <c r="A21" i="14"/>
  <c r="I20" i="14"/>
  <c r="E20" i="14"/>
  <c r="A20" i="14"/>
  <c r="I19" i="14"/>
  <c r="E19" i="14"/>
  <c r="A19" i="14"/>
  <c r="I18" i="14"/>
  <c r="E18" i="14"/>
  <c r="A18" i="14"/>
  <c r="I17" i="14"/>
  <c r="E17" i="14"/>
  <c r="A17" i="14"/>
  <c r="I16" i="14"/>
  <c r="E16" i="14"/>
  <c r="A16" i="14"/>
  <c r="I15" i="14"/>
  <c r="E15" i="14"/>
  <c r="A15" i="14"/>
  <c r="I14" i="14"/>
  <c r="E14" i="14"/>
  <c r="A14" i="14"/>
  <c r="I13" i="14"/>
  <c r="E13" i="14"/>
  <c r="A13" i="14"/>
  <c r="J12" i="14"/>
  <c r="F12" i="14"/>
  <c r="A7" i="14"/>
  <c r="A88" i="13"/>
  <c r="A86" i="13"/>
  <c r="A39" i="13"/>
  <c r="J69" i="13"/>
  <c r="F69" i="13"/>
  <c r="D69" i="13"/>
  <c r="C69" i="13"/>
  <c r="J42" i="13"/>
  <c r="F42" i="13"/>
  <c r="D42" i="13"/>
  <c r="C42" i="13"/>
  <c r="D12" i="13"/>
  <c r="C12" i="13"/>
  <c r="A9" i="13"/>
  <c r="A87" i="13"/>
  <c r="A85" i="13"/>
  <c r="I83" i="13"/>
  <c r="E83" i="13"/>
  <c r="A83" i="13"/>
  <c r="I82" i="13"/>
  <c r="E82" i="13"/>
  <c r="A82" i="13"/>
  <c r="I81" i="13"/>
  <c r="E81" i="13"/>
  <c r="A81" i="13"/>
  <c r="I80" i="13"/>
  <c r="E80" i="13"/>
  <c r="A80" i="13"/>
  <c r="I79" i="13"/>
  <c r="E79" i="13"/>
  <c r="A79" i="13"/>
  <c r="I78" i="13"/>
  <c r="E78" i="13"/>
  <c r="A78" i="13"/>
  <c r="I77" i="13"/>
  <c r="E77" i="13"/>
  <c r="A77" i="13"/>
  <c r="I76" i="13"/>
  <c r="E76" i="13"/>
  <c r="A76" i="13"/>
  <c r="I75" i="13"/>
  <c r="E75" i="13"/>
  <c r="A75" i="13"/>
  <c r="I74" i="13"/>
  <c r="E74" i="13"/>
  <c r="A74" i="13"/>
  <c r="I73" i="13"/>
  <c r="E73" i="13"/>
  <c r="A73" i="13"/>
  <c r="I72" i="13"/>
  <c r="E72" i="13"/>
  <c r="A72" i="13"/>
  <c r="I71" i="13"/>
  <c r="E71" i="13"/>
  <c r="A71" i="13"/>
  <c r="I70" i="13"/>
  <c r="E70" i="13"/>
  <c r="A70" i="13"/>
  <c r="A63" i="13"/>
  <c r="I61" i="13"/>
  <c r="E61" i="13"/>
  <c r="A61" i="13"/>
  <c r="I60" i="13"/>
  <c r="E60" i="13"/>
  <c r="A60" i="13"/>
  <c r="I59" i="13"/>
  <c r="E59" i="13"/>
  <c r="A59" i="13"/>
  <c r="I58" i="13"/>
  <c r="E58" i="13"/>
  <c r="A58" i="13"/>
  <c r="I57" i="13"/>
  <c r="E57" i="13"/>
  <c r="A57" i="13"/>
  <c r="I56" i="13"/>
  <c r="E56" i="13"/>
  <c r="A56" i="13"/>
  <c r="I55" i="13"/>
  <c r="E55" i="13"/>
  <c r="A55" i="13"/>
  <c r="I54" i="13"/>
  <c r="E54" i="13"/>
  <c r="A54" i="13"/>
  <c r="I53" i="13"/>
  <c r="E53" i="13"/>
  <c r="A53" i="13"/>
  <c r="I52" i="13"/>
  <c r="E52" i="13"/>
  <c r="A52" i="13"/>
  <c r="I51" i="13"/>
  <c r="E51" i="13"/>
  <c r="A51" i="13"/>
  <c r="I50" i="13"/>
  <c r="E50" i="13"/>
  <c r="A50" i="13"/>
  <c r="I49" i="13"/>
  <c r="E49" i="13"/>
  <c r="A49" i="13"/>
  <c r="I48" i="13"/>
  <c r="E48" i="13"/>
  <c r="A48" i="13"/>
  <c r="I47" i="13"/>
  <c r="E47" i="13"/>
  <c r="A47" i="13"/>
  <c r="I46" i="13"/>
  <c r="E46" i="13"/>
  <c r="A46" i="13"/>
  <c r="I45" i="13"/>
  <c r="E45" i="13"/>
  <c r="A45" i="13"/>
  <c r="I44" i="13"/>
  <c r="E44" i="13"/>
  <c r="A44" i="13"/>
  <c r="I43" i="13"/>
  <c r="E43" i="13"/>
  <c r="A43" i="13"/>
  <c r="J36" i="13"/>
  <c r="H36" i="13"/>
  <c r="H35" i="13" s="1"/>
  <c r="G36" i="13"/>
  <c r="F36" i="13"/>
  <c r="D36" i="13"/>
  <c r="D35" i="13" s="1"/>
  <c r="C36" i="13"/>
  <c r="C35" i="13" s="1"/>
  <c r="A36" i="13"/>
  <c r="A35" i="13"/>
  <c r="I34" i="13"/>
  <c r="E34" i="13"/>
  <c r="A34" i="13"/>
  <c r="I33" i="13"/>
  <c r="E33" i="13"/>
  <c r="A33" i="13"/>
  <c r="I32" i="13"/>
  <c r="E32" i="13"/>
  <c r="A32" i="13"/>
  <c r="I31" i="13"/>
  <c r="E31" i="13"/>
  <c r="A31" i="13"/>
  <c r="I30" i="13"/>
  <c r="E30" i="13"/>
  <c r="A30" i="13"/>
  <c r="I29" i="13"/>
  <c r="E29" i="13"/>
  <c r="A29" i="13"/>
  <c r="I28" i="13"/>
  <c r="E28" i="13"/>
  <c r="A28" i="13"/>
  <c r="I27" i="13"/>
  <c r="E27" i="13"/>
  <c r="A27" i="13"/>
  <c r="I26" i="13"/>
  <c r="E26" i="13"/>
  <c r="A26" i="13"/>
  <c r="I25" i="13"/>
  <c r="E25" i="13"/>
  <c r="A25" i="13"/>
  <c r="I24" i="13"/>
  <c r="E24" i="13"/>
  <c r="A24" i="13"/>
  <c r="I23" i="13"/>
  <c r="E23" i="13"/>
  <c r="A23" i="13"/>
  <c r="I22" i="13"/>
  <c r="E22" i="13"/>
  <c r="A22" i="13"/>
  <c r="I21" i="13"/>
  <c r="E21" i="13"/>
  <c r="A21" i="13"/>
  <c r="I20" i="13"/>
  <c r="E20" i="13"/>
  <c r="A20" i="13"/>
  <c r="I19" i="13"/>
  <c r="E19" i="13"/>
  <c r="A19" i="13"/>
  <c r="I18" i="13"/>
  <c r="E18" i="13"/>
  <c r="A18" i="13"/>
  <c r="I17" i="13"/>
  <c r="E17" i="13"/>
  <c r="A17" i="13"/>
  <c r="I16" i="13"/>
  <c r="E16" i="13"/>
  <c r="A16" i="13"/>
  <c r="I15" i="13"/>
  <c r="E15" i="13"/>
  <c r="A15" i="13"/>
  <c r="I14" i="13"/>
  <c r="E14" i="13"/>
  <c r="A14" i="13"/>
  <c r="I13" i="13"/>
  <c r="E13" i="13"/>
  <c r="A13" i="13"/>
  <c r="J12" i="13"/>
  <c r="F12" i="13"/>
  <c r="A7" i="13"/>
  <c r="A88" i="12"/>
  <c r="A87" i="12"/>
  <c r="A86" i="12"/>
  <c r="A39" i="12"/>
  <c r="J69" i="12"/>
  <c r="F69" i="12"/>
  <c r="C69" i="12"/>
  <c r="J42" i="12"/>
  <c r="F42" i="12"/>
  <c r="C42" i="12"/>
  <c r="C12" i="12"/>
  <c r="A85" i="12"/>
  <c r="I83" i="12"/>
  <c r="E83" i="12"/>
  <c r="A83" i="12"/>
  <c r="I82" i="12"/>
  <c r="E82" i="12"/>
  <c r="A82" i="12"/>
  <c r="I81" i="12"/>
  <c r="E81" i="12"/>
  <c r="A81" i="12"/>
  <c r="I80" i="12"/>
  <c r="E80" i="12"/>
  <c r="A80" i="12"/>
  <c r="I79" i="12"/>
  <c r="E79" i="12"/>
  <c r="A79" i="12"/>
  <c r="I78" i="12"/>
  <c r="E78" i="12"/>
  <c r="A78" i="12"/>
  <c r="I77" i="12"/>
  <c r="E77" i="12"/>
  <c r="A77" i="12"/>
  <c r="I76" i="12"/>
  <c r="E76" i="12"/>
  <c r="A76" i="12"/>
  <c r="I75" i="12"/>
  <c r="E75" i="12"/>
  <c r="A75" i="12"/>
  <c r="I74" i="12"/>
  <c r="E74" i="12"/>
  <c r="A74" i="12"/>
  <c r="I73" i="12"/>
  <c r="E73" i="12"/>
  <c r="A73" i="12"/>
  <c r="I72" i="12"/>
  <c r="E72" i="12"/>
  <c r="A72" i="12"/>
  <c r="I71" i="12"/>
  <c r="E71" i="12"/>
  <c r="A71" i="12"/>
  <c r="I70" i="12"/>
  <c r="E70" i="12"/>
  <c r="A70" i="12"/>
  <c r="A63" i="12"/>
  <c r="I61" i="12"/>
  <c r="E61" i="12"/>
  <c r="A61" i="12"/>
  <c r="I60" i="12"/>
  <c r="E60" i="12"/>
  <c r="A60" i="12"/>
  <c r="I59" i="12"/>
  <c r="E59" i="12"/>
  <c r="A59" i="12"/>
  <c r="I58" i="12"/>
  <c r="E58" i="12"/>
  <c r="A58" i="12"/>
  <c r="I57" i="12"/>
  <c r="E57" i="12"/>
  <c r="A57" i="12"/>
  <c r="I56" i="12"/>
  <c r="E56" i="12"/>
  <c r="A56" i="12"/>
  <c r="I55" i="12"/>
  <c r="E55" i="12"/>
  <c r="A55" i="12"/>
  <c r="I54" i="12"/>
  <c r="E54" i="12"/>
  <c r="A54" i="12"/>
  <c r="I53" i="12"/>
  <c r="E53" i="12"/>
  <c r="A53" i="12"/>
  <c r="I52" i="12"/>
  <c r="E52" i="12"/>
  <c r="A52" i="12"/>
  <c r="I51" i="12"/>
  <c r="E51" i="12"/>
  <c r="A51" i="12"/>
  <c r="I50" i="12"/>
  <c r="E50" i="12"/>
  <c r="A50" i="12"/>
  <c r="I49" i="12"/>
  <c r="E49" i="12"/>
  <c r="A49" i="12"/>
  <c r="I48" i="12"/>
  <c r="E48" i="12"/>
  <c r="A48" i="12"/>
  <c r="I47" i="12"/>
  <c r="E47" i="12"/>
  <c r="A47" i="12"/>
  <c r="I46" i="12"/>
  <c r="E46" i="12"/>
  <c r="A46" i="12"/>
  <c r="I45" i="12"/>
  <c r="E45" i="12"/>
  <c r="A45" i="12"/>
  <c r="I44" i="12"/>
  <c r="E44" i="12"/>
  <c r="A44" i="12"/>
  <c r="I43" i="12"/>
  <c r="E43" i="12"/>
  <c r="A43" i="12"/>
  <c r="J36" i="12"/>
  <c r="H36" i="12"/>
  <c r="H35" i="12" s="1"/>
  <c r="G36" i="12"/>
  <c r="F36" i="12"/>
  <c r="D36" i="12"/>
  <c r="D35" i="12" s="1"/>
  <c r="C36" i="12"/>
  <c r="C35" i="12" s="1"/>
  <c r="A36" i="12"/>
  <c r="A35" i="12"/>
  <c r="I34" i="12"/>
  <c r="E34" i="12"/>
  <c r="A34" i="12"/>
  <c r="I33" i="12"/>
  <c r="E33" i="12"/>
  <c r="A33" i="12"/>
  <c r="I32" i="12"/>
  <c r="E32" i="12"/>
  <c r="A32" i="12"/>
  <c r="I31" i="12"/>
  <c r="E31" i="12"/>
  <c r="A31" i="12"/>
  <c r="I30" i="12"/>
  <c r="E30" i="12"/>
  <c r="A30" i="12"/>
  <c r="I29" i="12"/>
  <c r="E29" i="12"/>
  <c r="A29" i="12"/>
  <c r="I28" i="12"/>
  <c r="E28" i="12"/>
  <c r="A28" i="12"/>
  <c r="I27" i="12"/>
  <c r="E27" i="12"/>
  <c r="A27" i="12"/>
  <c r="I26" i="12"/>
  <c r="E26" i="12"/>
  <c r="A26" i="12"/>
  <c r="I25" i="12"/>
  <c r="E25" i="12"/>
  <c r="A25" i="12"/>
  <c r="I24" i="12"/>
  <c r="E24" i="12"/>
  <c r="A24" i="12"/>
  <c r="I23" i="12"/>
  <c r="E23" i="12"/>
  <c r="A23" i="12"/>
  <c r="I22" i="12"/>
  <c r="E22" i="12"/>
  <c r="A22" i="12"/>
  <c r="I21" i="12"/>
  <c r="E21" i="12"/>
  <c r="A21" i="12"/>
  <c r="I20" i="12"/>
  <c r="E20" i="12"/>
  <c r="A20" i="12"/>
  <c r="I19" i="12"/>
  <c r="E19" i="12"/>
  <c r="A19" i="12"/>
  <c r="I18" i="12"/>
  <c r="E18" i="12"/>
  <c r="A18" i="12"/>
  <c r="I17" i="12"/>
  <c r="E17" i="12"/>
  <c r="A17" i="12"/>
  <c r="I16" i="12"/>
  <c r="E16" i="12"/>
  <c r="A16" i="12"/>
  <c r="I15" i="12"/>
  <c r="E15" i="12"/>
  <c r="A15" i="12"/>
  <c r="I14" i="12"/>
  <c r="E14" i="12"/>
  <c r="A14" i="12"/>
  <c r="I13" i="12"/>
  <c r="E13" i="12"/>
  <c r="A13" i="12"/>
  <c r="J12" i="12"/>
  <c r="F12" i="12"/>
  <c r="A7" i="12"/>
  <c r="A88" i="11"/>
  <c r="A86" i="11"/>
  <c r="A66" i="11"/>
  <c r="J69" i="11"/>
  <c r="F69" i="11"/>
  <c r="J42" i="11"/>
  <c r="F42" i="11"/>
  <c r="C42" i="11"/>
  <c r="G12" i="11"/>
  <c r="D12" i="11"/>
  <c r="A9" i="11"/>
  <c r="A87" i="11"/>
  <c r="A85" i="11"/>
  <c r="I83" i="11"/>
  <c r="E83" i="11"/>
  <c r="A83" i="11"/>
  <c r="I82" i="11"/>
  <c r="E82" i="11"/>
  <c r="A82" i="11"/>
  <c r="I81" i="11"/>
  <c r="E81" i="11"/>
  <c r="A81" i="11"/>
  <c r="I80" i="11"/>
  <c r="E80" i="11"/>
  <c r="A80" i="11"/>
  <c r="I79" i="11"/>
  <c r="E79" i="11"/>
  <c r="A79" i="11"/>
  <c r="I78" i="11"/>
  <c r="E78" i="11"/>
  <c r="A78" i="11"/>
  <c r="I77" i="11"/>
  <c r="E77" i="11"/>
  <c r="A77" i="11"/>
  <c r="I76" i="11"/>
  <c r="E76" i="11"/>
  <c r="A76" i="11"/>
  <c r="I75" i="11"/>
  <c r="E75" i="11"/>
  <c r="A75" i="11"/>
  <c r="I74" i="11"/>
  <c r="E74" i="11"/>
  <c r="A74" i="11"/>
  <c r="I73" i="11"/>
  <c r="E73" i="11"/>
  <c r="A73" i="11"/>
  <c r="I72" i="11"/>
  <c r="E72" i="11"/>
  <c r="A72" i="11"/>
  <c r="I71" i="11"/>
  <c r="E71" i="11"/>
  <c r="A71" i="11"/>
  <c r="E70" i="11"/>
  <c r="A70" i="11"/>
  <c r="A63" i="11"/>
  <c r="I61" i="11"/>
  <c r="E61" i="11"/>
  <c r="A61" i="11"/>
  <c r="I60" i="11"/>
  <c r="E60" i="11"/>
  <c r="A60" i="11"/>
  <c r="I59" i="11"/>
  <c r="E59" i="11"/>
  <c r="A59" i="11"/>
  <c r="I58" i="11"/>
  <c r="E58" i="11"/>
  <c r="A58" i="11"/>
  <c r="I57" i="11"/>
  <c r="E57" i="11"/>
  <c r="A57" i="11"/>
  <c r="I56" i="11"/>
  <c r="E56" i="11"/>
  <c r="A56" i="11"/>
  <c r="I55" i="11"/>
  <c r="E55" i="11"/>
  <c r="A55" i="11"/>
  <c r="I54" i="11"/>
  <c r="E54" i="11"/>
  <c r="A54" i="11"/>
  <c r="I53" i="11"/>
  <c r="E53" i="11"/>
  <c r="A53" i="11"/>
  <c r="I52" i="11"/>
  <c r="E52" i="11"/>
  <c r="A52" i="11"/>
  <c r="I51" i="11"/>
  <c r="E51" i="11"/>
  <c r="A51" i="11"/>
  <c r="I50" i="11"/>
  <c r="E50" i="11"/>
  <c r="A50" i="11"/>
  <c r="I49" i="11"/>
  <c r="E49" i="11"/>
  <c r="A49" i="11"/>
  <c r="I48" i="11"/>
  <c r="E48" i="11"/>
  <c r="A48" i="11"/>
  <c r="I47" i="11"/>
  <c r="E47" i="11"/>
  <c r="A47" i="11"/>
  <c r="I46" i="11"/>
  <c r="E46" i="11"/>
  <c r="A46" i="11"/>
  <c r="I45" i="11"/>
  <c r="E45" i="11"/>
  <c r="A45" i="11"/>
  <c r="I44" i="11"/>
  <c r="E44" i="11"/>
  <c r="A44" i="11"/>
  <c r="I43" i="11"/>
  <c r="E43" i="11"/>
  <c r="A43" i="11"/>
  <c r="J36" i="11"/>
  <c r="H36" i="11"/>
  <c r="H35" i="11" s="1"/>
  <c r="G36" i="11"/>
  <c r="I36" i="11" s="1"/>
  <c r="F36" i="11"/>
  <c r="D36" i="11"/>
  <c r="D35" i="11" s="1"/>
  <c r="C36" i="11"/>
  <c r="C35" i="11" s="1"/>
  <c r="A36" i="11"/>
  <c r="A35" i="11"/>
  <c r="I34" i="11"/>
  <c r="E34" i="11"/>
  <c r="A34" i="11"/>
  <c r="I33" i="11"/>
  <c r="E33" i="11"/>
  <c r="A33" i="11"/>
  <c r="I32" i="11"/>
  <c r="E32" i="11"/>
  <c r="A32" i="11"/>
  <c r="I31" i="11"/>
  <c r="E31" i="11"/>
  <c r="A31" i="11"/>
  <c r="I30" i="11"/>
  <c r="E30" i="11"/>
  <c r="A30" i="11"/>
  <c r="I29" i="11"/>
  <c r="E29" i="11"/>
  <c r="A29" i="11"/>
  <c r="I28" i="11"/>
  <c r="E28" i="11"/>
  <c r="A28" i="11"/>
  <c r="I27" i="11"/>
  <c r="E27" i="11"/>
  <c r="A27" i="11"/>
  <c r="I26" i="11"/>
  <c r="E26" i="11"/>
  <c r="A26" i="11"/>
  <c r="I25" i="11"/>
  <c r="E25" i="11"/>
  <c r="A25" i="11"/>
  <c r="I24" i="11"/>
  <c r="E24" i="11"/>
  <c r="A24" i="11"/>
  <c r="I23" i="11"/>
  <c r="E23" i="11"/>
  <c r="A23" i="11"/>
  <c r="I22" i="11"/>
  <c r="E22" i="11"/>
  <c r="A22" i="11"/>
  <c r="I21" i="11"/>
  <c r="E21" i="11"/>
  <c r="A21" i="11"/>
  <c r="I20" i="11"/>
  <c r="E20" i="11"/>
  <c r="A20" i="11"/>
  <c r="I19" i="11"/>
  <c r="E19" i="11"/>
  <c r="A19" i="11"/>
  <c r="I18" i="11"/>
  <c r="E18" i="11"/>
  <c r="A18" i="11"/>
  <c r="I17" i="11"/>
  <c r="E17" i="11"/>
  <c r="A17" i="11"/>
  <c r="I16" i="11"/>
  <c r="E16" i="11"/>
  <c r="A16" i="11"/>
  <c r="I15" i="11"/>
  <c r="E15" i="11"/>
  <c r="A15" i="11"/>
  <c r="I14" i="11"/>
  <c r="E14" i="11"/>
  <c r="A14" i="11"/>
  <c r="I13" i="11"/>
  <c r="E13" i="11"/>
  <c r="A13" i="11"/>
  <c r="J12" i="11"/>
  <c r="F12" i="11"/>
  <c r="A7" i="11"/>
  <c r="A88" i="10"/>
  <c r="A86" i="10"/>
  <c r="J69" i="10"/>
  <c r="F69" i="10"/>
  <c r="J42" i="10"/>
  <c r="F42" i="10"/>
  <c r="A87" i="10"/>
  <c r="A85" i="10"/>
  <c r="I83" i="10"/>
  <c r="E83" i="10"/>
  <c r="A83" i="10"/>
  <c r="I82" i="10"/>
  <c r="E82" i="10"/>
  <c r="A82" i="10"/>
  <c r="I81" i="10"/>
  <c r="E81" i="10"/>
  <c r="A81" i="10"/>
  <c r="I80" i="10"/>
  <c r="E80" i="10"/>
  <c r="A80" i="10"/>
  <c r="I79" i="10"/>
  <c r="E79" i="10"/>
  <c r="A79" i="10"/>
  <c r="I78" i="10"/>
  <c r="E78" i="10"/>
  <c r="A78" i="10"/>
  <c r="I77" i="10"/>
  <c r="E77" i="10"/>
  <c r="A77" i="10"/>
  <c r="I76" i="10"/>
  <c r="E76" i="10"/>
  <c r="A76" i="10"/>
  <c r="I75" i="10"/>
  <c r="E75" i="10"/>
  <c r="A75" i="10"/>
  <c r="I74" i="10"/>
  <c r="E74" i="10"/>
  <c r="A74" i="10"/>
  <c r="I73" i="10"/>
  <c r="E73" i="10"/>
  <c r="A73" i="10"/>
  <c r="I72" i="10"/>
  <c r="E72" i="10"/>
  <c r="A72" i="10"/>
  <c r="I71" i="10"/>
  <c r="E71" i="10"/>
  <c r="A71" i="10"/>
  <c r="I70" i="10"/>
  <c r="E70" i="10"/>
  <c r="A70" i="10"/>
  <c r="A63" i="10"/>
  <c r="I61" i="10"/>
  <c r="E61" i="10"/>
  <c r="A61" i="10"/>
  <c r="I60" i="10"/>
  <c r="E60" i="10"/>
  <c r="A60" i="10"/>
  <c r="I59" i="10"/>
  <c r="E59" i="10"/>
  <c r="A59" i="10"/>
  <c r="I58" i="10"/>
  <c r="E58" i="10"/>
  <c r="A58" i="10"/>
  <c r="I57" i="10"/>
  <c r="E57" i="10"/>
  <c r="A57" i="10"/>
  <c r="I56" i="10"/>
  <c r="E56" i="10"/>
  <c r="A56" i="10"/>
  <c r="I55" i="10"/>
  <c r="E55" i="10"/>
  <c r="A55" i="10"/>
  <c r="I54" i="10"/>
  <c r="E54" i="10"/>
  <c r="A54" i="10"/>
  <c r="I53" i="10"/>
  <c r="E53" i="10"/>
  <c r="A53" i="10"/>
  <c r="I52" i="10"/>
  <c r="E52" i="10"/>
  <c r="A52" i="10"/>
  <c r="I51" i="10"/>
  <c r="E51" i="10"/>
  <c r="A51" i="10"/>
  <c r="I50" i="10"/>
  <c r="E50" i="10"/>
  <c r="A50" i="10"/>
  <c r="I49" i="10"/>
  <c r="E49" i="10"/>
  <c r="A49" i="10"/>
  <c r="I48" i="10"/>
  <c r="E48" i="10"/>
  <c r="A48" i="10"/>
  <c r="I47" i="10"/>
  <c r="E47" i="10"/>
  <c r="A47" i="10"/>
  <c r="I46" i="10"/>
  <c r="E46" i="10"/>
  <c r="A46" i="10"/>
  <c r="I45" i="10"/>
  <c r="E45" i="10"/>
  <c r="A45" i="10"/>
  <c r="I44" i="10"/>
  <c r="E44" i="10"/>
  <c r="A44" i="10"/>
  <c r="I43" i="10"/>
  <c r="E43" i="10"/>
  <c r="A43" i="10"/>
  <c r="J36" i="10"/>
  <c r="H36" i="10"/>
  <c r="H35" i="10" s="1"/>
  <c r="G36" i="10"/>
  <c r="G35" i="10" s="1"/>
  <c r="F36" i="10"/>
  <c r="D36" i="10"/>
  <c r="D35" i="10" s="1"/>
  <c r="C36" i="10"/>
  <c r="C35" i="10" s="1"/>
  <c r="A36" i="10"/>
  <c r="A35" i="10"/>
  <c r="I34" i="10"/>
  <c r="E34" i="10"/>
  <c r="A34" i="10"/>
  <c r="I33" i="10"/>
  <c r="E33" i="10"/>
  <c r="A33" i="10"/>
  <c r="I32" i="10"/>
  <c r="E32" i="10"/>
  <c r="A32" i="10"/>
  <c r="I31" i="10"/>
  <c r="E31" i="10"/>
  <c r="A31" i="10"/>
  <c r="I30" i="10"/>
  <c r="E30" i="10"/>
  <c r="A30" i="10"/>
  <c r="I29" i="10"/>
  <c r="E29" i="10"/>
  <c r="A29" i="10"/>
  <c r="I28" i="10"/>
  <c r="E28" i="10"/>
  <c r="A28" i="10"/>
  <c r="I27" i="10"/>
  <c r="E27" i="10"/>
  <c r="A27" i="10"/>
  <c r="I26" i="10"/>
  <c r="E26" i="10"/>
  <c r="A26" i="10"/>
  <c r="I25" i="10"/>
  <c r="E25" i="10"/>
  <c r="A25" i="10"/>
  <c r="I24" i="10"/>
  <c r="E24" i="10"/>
  <c r="A24" i="10"/>
  <c r="I23" i="10"/>
  <c r="E23" i="10"/>
  <c r="A23" i="10"/>
  <c r="I22" i="10"/>
  <c r="E22" i="10"/>
  <c r="A22" i="10"/>
  <c r="I21" i="10"/>
  <c r="E21" i="10"/>
  <c r="A21" i="10"/>
  <c r="I20" i="10"/>
  <c r="E20" i="10"/>
  <c r="A20" i="10"/>
  <c r="I19" i="10"/>
  <c r="E19" i="10"/>
  <c r="A19" i="10"/>
  <c r="I18" i="10"/>
  <c r="E18" i="10"/>
  <c r="A18" i="10"/>
  <c r="I17" i="10"/>
  <c r="E17" i="10"/>
  <c r="A17" i="10"/>
  <c r="I16" i="10"/>
  <c r="E16" i="10"/>
  <c r="A16" i="10"/>
  <c r="I15" i="10"/>
  <c r="E15" i="10"/>
  <c r="A15" i="10"/>
  <c r="I14" i="10"/>
  <c r="E14" i="10"/>
  <c r="A14" i="10"/>
  <c r="I13" i="10"/>
  <c r="E13" i="10"/>
  <c r="A13" i="10"/>
  <c r="J12" i="10"/>
  <c r="F12" i="10"/>
  <c r="A7" i="10"/>
  <c r="A88" i="9"/>
  <c r="A86" i="9"/>
  <c r="J69" i="9"/>
  <c r="F69" i="9"/>
  <c r="J42" i="9"/>
  <c r="F42" i="9"/>
  <c r="A9" i="9"/>
  <c r="A87" i="9"/>
  <c r="A85" i="9"/>
  <c r="I83" i="9"/>
  <c r="E83" i="9"/>
  <c r="A83" i="9"/>
  <c r="I82" i="9"/>
  <c r="E82" i="9"/>
  <c r="A82" i="9"/>
  <c r="I81" i="9"/>
  <c r="E81" i="9"/>
  <c r="A81" i="9"/>
  <c r="I80" i="9"/>
  <c r="E80" i="9"/>
  <c r="A80" i="9"/>
  <c r="I79" i="9"/>
  <c r="E79" i="9"/>
  <c r="A79" i="9"/>
  <c r="I78" i="9"/>
  <c r="E78" i="9"/>
  <c r="A78" i="9"/>
  <c r="I77" i="9"/>
  <c r="E77" i="9"/>
  <c r="A77" i="9"/>
  <c r="I76" i="9"/>
  <c r="E76" i="9"/>
  <c r="A76" i="9"/>
  <c r="I75" i="9"/>
  <c r="E75" i="9"/>
  <c r="A75" i="9"/>
  <c r="I74" i="9"/>
  <c r="E74" i="9"/>
  <c r="A74" i="9"/>
  <c r="I73" i="9"/>
  <c r="E73" i="9"/>
  <c r="A73" i="9"/>
  <c r="I72" i="9"/>
  <c r="E72" i="9"/>
  <c r="A72" i="9"/>
  <c r="I71" i="9"/>
  <c r="E71" i="9"/>
  <c r="A71" i="9"/>
  <c r="I70" i="9"/>
  <c r="E70" i="9"/>
  <c r="A70" i="9"/>
  <c r="A63" i="9"/>
  <c r="I61" i="9"/>
  <c r="E61" i="9"/>
  <c r="A61" i="9"/>
  <c r="I60" i="9"/>
  <c r="E60" i="9"/>
  <c r="A60" i="9"/>
  <c r="I59" i="9"/>
  <c r="E59" i="9"/>
  <c r="A59" i="9"/>
  <c r="I58" i="9"/>
  <c r="E58" i="9"/>
  <c r="A58" i="9"/>
  <c r="I57" i="9"/>
  <c r="E57" i="9"/>
  <c r="A57" i="9"/>
  <c r="I56" i="9"/>
  <c r="E56" i="9"/>
  <c r="A56" i="9"/>
  <c r="I55" i="9"/>
  <c r="E55" i="9"/>
  <c r="A55" i="9"/>
  <c r="I54" i="9"/>
  <c r="E54" i="9"/>
  <c r="A54" i="9"/>
  <c r="I53" i="9"/>
  <c r="E53" i="9"/>
  <c r="A53" i="9"/>
  <c r="I52" i="9"/>
  <c r="E52" i="9"/>
  <c r="A52" i="9"/>
  <c r="I51" i="9"/>
  <c r="E51" i="9"/>
  <c r="A51" i="9"/>
  <c r="I50" i="9"/>
  <c r="E50" i="9"/>
  <c r="A50" i="9"/>
  <c r="I49" i="9"/>
  <c r="E49" i="9"/>
  <c r="A49" i="9"/>
  <c r="I48" i="9"/>
  <c r="E48" i="9"/>
  <c r="A48" i="9"/>
  <c r="I47" i="9"/>
  <c r="E47" i="9"/>
  <c r="A47" i="9"/>
  <c r="I46" i="9"/>
  <c r="E46" i="9"/>
  <c r="A46" i="9"/>
  <c r="I45" i="9"/>
  <c r="E45" i="9"/>
  <c r="A45" i="9"/>
  <c r="I44" i="9"/>
  <c r="E44" i="9"/>
  <c r="A44" i="9"/>
  <c r="I43" i="9"/>
  <c r="E43" i="9"/>
  <c r="A43" i="9"/>
  <c r="J36" i="9"/>
  <c r="H36" i="9"/>
  <c r="H35" i="9" s="1"/>
  <c r="G36" i="9"/>
  <c r="F36" i="9"/>
  <c r="D36" i="9"/>
  <c r="D35" i="9" s="1"/>
  <c r="C36" i="9"/>
  <c r="C35" i="9" s="1"/>
  <c r="A36" i="9"/>
  <c r="A35" i="9"/>
  <c r="I34" i="9"/>
  <c r="E34" i="9"/>
  <c r="A34" i="9"/>
  <c r="I33" i="9"/>
  <c r="E33" i="9"/>
  <c r="A33" i="9"/>
  <c r="I32" i="9"/>
  <c r="E32" i="9"/>
  <c r="A32" i="9"/>
  <c r="I31" i="9"/>
  <c r="E31" i="9"/>
  <c r="A31" i="9"/>
  <c r="I30" i="9"/>
  <c r="E30" i="9"/>
  <c r="A30" i="9"/>
  <c r="I29" i="9"/>
  <c r="E29" i="9"/>
  <c r="A29" i="9"/>
  <c r="I28" i="9"/>
  <c r="E28" i="9"/>
  <c r="A28" i="9"/>
  <c r="I27" i="9"/>
  <c r="E27" i="9"/>
  <c r="A27" i="9"/>
  <c r="I26" i="9"/>
  <c r="E26" i="9"/>
  <c r="A26" i="9"/>
  <c r="I25" i="9"/>
  <c r="E25" i="9"/>
  <c r="A25" i="9"/>
  <c r="I24" i="9"/>
  <c r="E24" i="9"/>
  <c r="A24" i="9"/>
  <c r="I23" i="9"/>
  <c r="E23" i="9"/>
  <c r="A23" i="9"/>
  <c r="I22" i="9"/>
  <c r="E22" i="9"/>
  <c r="A22" i="9"/>
  <c r="I21" i="9"/>
  <c r="E21" i="9"/>
  <c r="A21" i="9"/>
  <c r="I20" i="9"/>
  <c r="E20" i="9"/>
  <c r="A20" i="9"/>
  <c r="I19" i="9"/>
  <c r="E19" i="9"/>
  <c r="A19" i="9"/>
  <c r="I18" i="9"/>
  <c r="E18" i="9"/>
  <c r="A18" i="9"/>
  <c r="I17" i="9"/>
  <c r="E17" i="9"/>
  <c r="A17" i="9"/>
  <c r="I16" i="9"/>
  <c r="E16" i="9"/>
  <c r="A16" i="9"/>
  <c r="I15" i="9"/>
  <c r="E15" i="9"/>
  <c r="A15" i="9"/>
  <c r="I14" i="9"/>
  <c r="E14" i="9"/>
  <c r="A14" i="9"/>
  <c r="I13" i="9"/>
  <c r="E13" i="9"/>
  <c r="A13" i="9"/>
  <c r="J12" i="9"/>
  <c r="F12" i="9"/>
  <c r="A7" i="9"/>
  <c r="A88" i="7"/>
  <c r="A86" i="7"/>
  <c r="A66" i="7"/>
  <c r="A39" i="7"/>
  <c r="J69" i="7"/>
  <c r="F69" i="7"/>
  <c r="D69" i="7"/>
  <c r="C69" i="7"/>
  <c r="J42" i="7"/>
  <c r="F42" i="7"/>
  <c r="D42" i="7"/>
  <c r="C42" i="7"/>
  <c r="J12" i="7"/>
  <c r="F12" i="7"/>
  <c r="D12" i="7"/>
  <c r="C12" i="7"/>
  <c r="A7" i="7"/>
  <c r="A9" i="7"/>
  <c r="A87" i="7"/>
  <c r="A85" i="7"/>
  <c r="I83" i="7"/>
  <c r="E83" i="7"/>
  <c r="A83" i="7"/>
  <c r="I82" i="7"/>
  <c r="E82" i="7"/>
  <c r="A82" i="7"/>
  <c r="I81" i="7"/>
  <c r="E81" i="7"/>
  <c r="A81" i="7"/>
  <c r="I80" i="7"/>
  <c r="E80" i="7"/>
  <c r="A80" i="7"/>
  <c r="I79" i="7"/>
  <c r="E79" i="7"/>
  <c r="A79" i="7"/>
  <c r="I78" i="7"/>
  <c r="E78" i="7"/>
  <c r="A78" i="7"/>
  <c r="I77" i="7"/>
  <c r="E77" i="7"/>
  <c r="A77" i="7"/>
  <c r="I76" i="7"/>
  <c r="E76" i="7"/>
  <c r="A76" i="7"/>
  <c r="I75" i="7"/>
  <c r="E75" i="7"/>
  <c r="A75" i="7"/>
  <c r="I74" i="7"/>
  <c r="E74" i="7"/>
  <c r="A74" i="7"/>
  <c r="I73" i="7"/>
  <c r="E73" i="7"/>
  <c r="A73" i="7"/>
  <c r="I72" i="7"/>
  <c r="E72" i="7"/>
  <c r="A72" i="7"/>
  <c r="I71" i="7"/>
  <c r="E71" i="7"/>
  <c r="A71" i="7"/>
  <c r="I70" i="7"/>
  <c r="E70" i="7"/>
  <c r="A70" i="7"/>
  <c r="A63" i="7"/>
  <c r="I61" i="7"/>
  <c r="E61" i="7"/>
  <c r="A61" i="7"/>
  <c r="I60" i="7"/>
  <c r="E60" i="7"/>
  <c r="A60" i="7"/>
  <c r="I59" i="7"/>
  <c r="E59" i="7"/>
  <c r="A59" i="7"/>
  <c r="I58" i="7"/>
  <c r="E58" i="7"/>
  <c r="A58" i="7"/>
  <c r="I57" i="7"/>
  <c r="E57" i="7"/>
  <c r="A57" i="7"/>
  <c r="I56" i="7"/>
  <c r="E56" i="7"/>
  <c r="A56" i="7"/>
  <c r="I55" i="7"/>
  <c r="E55" i="7"/>
  <c r="A55" i="7"/>
  <c r="I54" i="7"/>
  <c r="E54" i="7"/>
  <c r="A54" i="7"/>
  <c r="I53" i="7"/>
  <c r="E53" i="7"/>
  <c r="A53" i="7"/>
  <c r="I52" i="7"/>
  <c r="E52" i="7"/>
  <c r="A52" i="7"/>
  <c r="I51" i="7"/>
  <c r="E51" i="7"/>
  <c r="A51" i="7"/>
  <c r="I50" i="7"/>
  <c r="E50" i="7"/>
  <c r="A50" i="7"/>
  <c r="I49" i="7"/>
  <c r="E49" i="7"/>
  <c r="A49" i="7"/>
  <c r="I48" i="7"/>
  <c r="E48" i="7"/>
  <c r="A48" i="7"/>
  <c r="I47" i="7"/>
  <c r="E47" i="7"/>
  <c r="A47" i="7"/>
  <c r="I46" i="7"/>
  <c r="E46" i="7"/>
  <c r="A46" i="7"/>
  <c r="I45" i="7"/>
  <c r="E45" i="7"/>
  <c r="A45" i="7"/>
  <c r="I44" i="7"/>
  <c r="E44" i="7"/>
  <c r="A44" i="7"/>
  <c r="I43" i="7"/>
  <c r="E43" i="7"/>
  <c r="A43" i="7"/>
  <c r="J36" i="7"/>
  <c r="H36" i="7"/>
  <c r="H35" i="7" s="1"/>
  <c r="G36" i="7"/>
  <c r="G35" i="7" s="1"/>
  <c r="F36" i="7"/>
  <c r="D36" i="7"/>
  <c r="D35" i="7" s="1"/>
  <c r="C36" i="7"/>
  <c r="C35" i="7" s="1"/>
  <c r="A36" i="7"/>
  <c r="A35" i="7"/>
  <c r="I34" i="7"/>
  <c r="E34" i="7"/>
  <c r="A34" i="7"/>
  <c r="I33" i="7"/>
  <c r="E33" i="7"/>
  <c r="A33" i="7"/>
  <c r="I32" i="7"/>
  <c r="E32" i="7"/>
  <c r="A32" i="7"/>
  <c r="I31" i="7"/>
  <c r="E31" i="7"/>
  <c r="A31" i="7"/>
  <c r="I30" i="7"/>
  <c r="E30" i="7"/>
  <c r="A30" i="7"/>
  <c r="I29" i="7"/>
  <c r="E29" i="7"/>
  <c r="A29" i="7"/>
  <c r="I28" i="7"/>
  <c r="E28" i="7"/>
  <c r="A28" i="7"/>
  <c r="I27" i="7"/>
  <c r="E27" i="7"/>
  <c r="A27" i="7"/>
  <c r="I26" i="7"/>
  <c r="E26" i="7"/>
  <c r="A26" i="7"/>
  <c r="I25" i="7"/>
  <c r="E25" i="7"/>
  <c r="A25" i="7"/>
  <c r="I24" i="7"/>
  <c r="E24" i="7"/>
  <c r="A24" i="7"/>
  <c r="I23" i="7"/>
  <c r="E23" i="7"/>
  <c r="A23" i="7"/>
  <c r="I22" i="7"/>
  <c r="E22" i="7"/>
  <c r="A22" i="7"/>
  <c r="I21" i="7"/>
  <c r="E21" i="7"/>
  <c r="A21" i="7"/>
  <c r="I20" i="7"/>
  <c r="E20" i="7"/>
  <c r="A20" i="7"/>
  <c r="I19" i="7"/>
  <c r="E19" i="7"/>
  <c r="A19" i="7"/>
  <c r="I18" i="7"/>
  <c r="E18" i="7"/>
  <c r="A18" i="7"/>
  <c r="I17" i="7"/>
  <c r="E17" i="7"/>
  <c r="A17" i="7"/>
  <c r="I16" i="7"/>
  <c r="E16" i="7"/>
  <c r="A16" i="7"/>
  <c r="I15" i="7"/>
  <c r="E15" i="7"/>
  <c r="A15" i="7"/>
  <c r="I14" i="7"/>
  <c r="E14" i="7"/>
  <c r="A14" i="7"/>
  <c r="I13" i="7"/>
  <c r="E13" i="7"/>
  <c r="A13" i="7"/>
  <c r="I36" i="9" l="1"/>
  <c r="I36" i="13"/>
  <c r="I36" i="15"/>
  <c r="I36" i="16"/>
  <c r="I36" i="18"/>
  <c r="G35" i="15"/>
  <c r="I35" i="15" s="1"/>
  <c r="G35" i="14"/>
  <c r="I35" i="14" s="1"/>
  <c r="G35" i="13"/>
  <c r="I35" i="13" s="1"/>
  <c r="I36" i="12"/>
  <c r="G35" i="12"/>
  <c r="I35" i="12" s="1"/>
  <c r="G35" i="11"/>
  <c r="I35" i="11" s="1"/>
  <c r="I36" i="10"/>
  <c r="G35" i="9"/>
  <c r="I35" i="9" s="1"/>
  <c r="I36" i="7"/>
  <c r="C69" i="9"/>
  <c r="C69" i="10"/>
  <c r="C108" i="5"/>
  <c r="H12" i="9" s="1"/>
  <c r="D135" i="5"/>
  <c r="E136" i="5"/>
  <c r="C150" i="5"/>
  <c r="D150" i="5"/>
  <c r="G42" i="12"/>
  <c r="C12" i="9"/>
  <c r="C69" i="11"/>
  <c r="D192" i="5"/>
  <c r="D206" i="5"/>
  <c r="D69" i="9"/>
  <c r="D42" i="12"/>
  <c r="D12" i="9"/>
  <c r="C12" i="10"/>
  <c r="C191" i="5"/>
  <c r="D12" i="12"/>
  <c r="C164" i="5"/>
  <c r="D42" i="11"/>
  <c r="G12" i="12"/>
  <c r="H42" i="13"/>
  <c r="H42" i="9"/>
  <c r="H12" i="12"/>
  <c r="H69" i="9"/>
  <c r="D69" i="10"/>
  <c r="D12" i="10"/>
  <c r="C12" i="15"/>
  <c r="C69" i="15"/>
  <c r="E121" i="5"/>
  <c r="E178" i="5"/>
  <c r="C205" i="5"/>
  <c r="D12" i="15"/>
  <c r="C234" i="5"/>
  <c r="H42" i="18" s="1"/>
  <c r="D164" i="5"/>
  <c r="D177" i="5"/>
  <c r="E191" i="5"/>
  <c r="C94" i="5"/>
  <c r="E93" i="5"/>
  <c r="C107" i="5"/>
  <c r="E149" i="5"/>
  <c r="C163" i="5"/>
  <c r="C12" i="17"/>
  <c r="E177" i="5"/>
  <c r="C192" i="5"/>
  <c r="E220" i="5"/>
  <c r="C233" i="5"/>
  <c r="D234" i="5"/>
  <c r="C69" i="17"/>
  <c r="H12" i="18"/>
  <c r="C136" i="5"/>
  <c r="D121" i="5"/>
  <c r="E122" i="5"/>
  <c r="C177" i="5"/>
  <c r="D178" i="5"/>
  <c r="D219" i="5"/>
  <c r="D12" i="14"/>
  <c r="E107" i="5"/>
  <c r="C121" i="5"/>
  <c r="D122" i="5"/>
  <c r="E163" i="5"/>
  <c r="C178" i="5"/>
  <c r="E205" i="5"/>
  <c r="C219" i="5"/>
  <c r="D220" i="5"/>
  <c r="G69" i="11"/>
  <c r="C93" i="5"/>
  <c r="E108" i="5"/>
  <c r="C122" i="5"/>
  <c r="D163" i="5"/>
  <c r="E164" i="5"/>
  <c r="D205" i="5"/>
  <c r="E206" i="5"/>
  <c r="C220" i="5"/>
  <c r="D69" i="14"/>
  <c r="D191" i="5"/>
  <c r="E192" i="5"/>
  <c r="C206" i="5"/>
  <c r="E234" i="5"/>
  <c r="E219" i="5"/>
  <c r="D233" i="5"/>
  <c r="E233" i="5"/>
  <c r="C42" i="18"/>
  <c r="D17" i="5"/>
  <c r="E13" i="5"/>
  <c r="D13" i="5"/>
  <c r="E17" i="5"/>
  <c r="E69" i="17"/>
  <c r="E42" i="17"/>
  <c r="E69" i="18"/>
  <c r="E42" i="18"/>
  <c r="E69" i="16"/>
  <c r="E42" i="16"/>
  <c r="E69" i="15"/>
  <c r="E42" i="15"/>
  <c r="E69" i="14"/>
  <c r="E42" i="14"/>
  <c r="E69" i="13"/>
  <c r="E42" i="13"/>
  <c r="E69" i="11"/>
  <c r="E42" i="11"/>
  <c r="E69" i="10"/>
  <c r="E42" i="10"/>
  <c r="E69" i="9"/>
  <c r="E42" i="9"/>
  <c r="E69" i="7"/>
  <c r="E42" i="7"/>
  <c r="E12" i="7"/>
  <c r="E12" i="17"/>
  <c r="E12" i="14"/>
  <c r="E12" i="11"/>
  <c r="E69" i="12"/>
  <c r="E42" i="12"/>
  <c r="E12" i="16"/>
  <c r="E12" i="13"/>
  <c r="E12" i="10"/>
  <c r="E12" i="18"/>
  <c r="E12" i="9"/>
  <c r="E12" i="15"/>
  <c r="E12" i="12"/>
  <c r="C17" i="5"/>
  <c r="I35" i="7"/>
  <c r="I35" i="16"/>
  <c r="I35" i="17"/>
  <c r="E35" i="10"/>
  <c r="E35" i="7"/>
  <c r="E35" i="11"/>
  <c r="E36" i="16"/>
  <c r="E35" i="18"/>
  <c r="E36" i="11"/>
  <c r="E35" i="12"/>
  <c r="I35" i="10"/>
  <c r="E36" i="12"/>
  <c r="E36" i="13"/>
  <c r="E35" i="9"/>
  <c r="E36" i="14"/>
  <c r="E35" i="16"/>
  <c r="I35" i="18"/>
  <c r="E36" i="18"/>
  <c r="E35" i="17"/>
  <c r="E36" i="17"/>
  <c r="E35" i="15"/>
  <c r="E36" i="15"/>
  <c r="D35" i="14"/>
  <c r="E35" i="14" s="1"/>
  <c r="E35" i="13"/>
  <c r="E36" i="10"/>
  <c r="E36" i="9"/>
  <c r="E36" i="7"/>
  <c r="H69" i="12" l="1"/>
  <c r="H42" i="12"/>
  <c r="H12" i="13"/>
  <c r="H69" i="13"/>
  <c r="G69" i="15"/>
  <c r="G42" i="15"/>
  <c r="G12" i="15"/>
  <c r="H69" i="18"/>
  <c r="G12" i="9"/>
  <c r="G42" i="9"/>
  <c r="G69" i="9"/>
  <c r="G69" i="16"/>
  <c r="G12" i="16"/>
  <c r="G42" i="16"/>
  <c r="H12" i="7"/>
  <c r="H42" i="7"/>
  <c r="H69" i="7"/>
  <c r="G12" i="13"/>
  <c r="G69" i="13"/>
  <c r="G42" i="13"/>
  <c r="G42" i="17"/>
  <c r="G69" i="17"/>
  <c r="G12" i="17"/>
  <c r="H42" i="16"/>
  <c r="H12" i="16"/>
  <c r="H69" i="16"/>
  <c r="G42" i="18"/>
  <c r="G69" i="18"/>
  <c r="G12" i="18"/>
  <c r="H42" i="10"/>
  <c r="H69" i="10"/>
  <c r="H12" i="10"/>
  <c r="H12" i="14"/>
  <c r="H42" i="14"/>
  <c r="H69" i="14"/>
  <c r="G69" i="14"/>
  <c r="G12" i="14"/>
  <c r="G42" i="14"/>
  <c r="H12" i="15"/>
  <c r="H42" i="15"/>
  <c r="H69" i="15"/>
  <c r="G12" i="7"/>
  <c r="G42" i="7"/>
  <c r="G69" i="7"/>
  <c r="H69" i="17"/>
  <c r="H12" i="17"/>
  <c r="H42" i="17"/>
  <c r="G42" i="10"/>
  <c r="G69" i="10"/>
  <c r="G12" i="10"/>
  <c r="H42" i="11"/>
  <c r="H69" i="11"/>
  <c r="H12" i="11"/>
  <c r="I12" i="18"/>
  <c r="I69" i="17"/>
  <c r="I42" i="17"/>
  <c r="I12" i="17"/>
  <c r="I12" i="16"/>
  <c r="I12" i="15"/>
  <c r="I12" i="14"/>
  <c r="I12" i="13"/>
  <c r="I12" i="12"/>
  <c r="I12" i="11"/>
  <c r="I12" i="10"/>
  <c r="I12" i="9"/>
  <c r="I12" i="7"/>
  <c r="I69" i="7"/>
  <c r="I69" i="18"/>
  <c r="I42" i="18"/>
  <c r="I69" i="16"/>
  <c r="I42" i="16"/>
  <c r="I69" i="15"/>
  <c r="I42" i="15"/>
  <c r="I69" i="14"/>
  <c r="I42" i="14"/>
  <c r="I69" i="13"/>
  <c r="I42" i="13"/>
  <c r="I69" i="11"/>
  <c r="I42" i="11"/>
  <c r="I69" i="10"/>
  <c r="I42" i="10"/>
  <c r="I69" i="9"/>
  <c r="I42" i="9"/>
  <c r="I42" i="7"/>
  <c r="I69" i="12"/>
  <c r="I42" i="12"/>
  <c r="A88" i="6"/>
  <c r="A87" i="6"/>
  <c r="A86" i="6"/>
  <c r="A85" i="6"/>
  <c r="E83" i="6"/>
  <c r="A83" i="6"/>
  <c r="E82" i="6"/>
  <c r="A82" i="6"/>
  <c r="E81" i="6"/>
  <c r="A81" i="6"/>
  <c r="E80" i="6"/>
  <c r="A80" i="6"/>
  <c r="E79" i="6"/>
  <c r="A79" i="6"/>
  <c r="E78" i="6"/>
  <c r="A78" i="6"/>
  <c r="E77" i="6"/>
  <c r="A77" i="6"/>
  <c r="E76" i="6"/>
  <c r="A76" i="6"/>
  <c r="E75" i="6"/>
  <c r="A75" i="6"/>
  <c r="E74" i="6"/>
  <c r="A74" i="6"/>
  <c r="E73" i="6"/>
  <c r="A73" i="6"/>
  <c r="E72" i="6"/>
  <c r="A72" i="6"/>
  <c r="E71" i="6"/>
  <c r="A71" i="6"/>
  <c r="E70" i="6"/>
  <c r="A70" i="6"/>
  <c r="F69" i="6"/>
  <c r="E69" i="6"/>
  <c r="D69" i="6"/>
  <c r="C69" i="6"/>
  <c r="A66" i="6"/>
  <c r="A63" i="6"/>
  <c r="E61" i="6"/>
  <c r="A61" i="6"/>
  <c r="E60" i="6"/>
  <c r="A60" i="6"/>
  <c r="E59" i="6"/>
  <c r="A59" i="6"/>
  <c r="E58" i="6"/>
  <c r="A58" i="6"/>
  <c r="E57" i="6"/>
  <c r="A57" i="6"/>
  <c r="E56" i="6"/>
  <c r="A56" i="6"/>
  <c r="E55" i="6"/>
  <c r="A55" i="6"/>
  <c r="E54" i="6"/>
  <c r="A54" i="6"/>
  <c r="E53" i="6"/>
  <c r="A53" i="6"/>
  <c r="E52" i="6"/>
  <c r="A52" i="6"/>
  <c r="E51" i="6"/>
  <c r="A51" i="6"/>
  <c r="E50" i="6"/>
  <c r="A50" i="6"/>
  <c r="E49" i="6"/>
  <c r="A49" i="6"/>
  <c r="E48" i="6"/>
  <c r="A48" i="6"/>
  <c r="E47" i="6"/>
  <c r="A47" i="6"/>
  <c r="E46" i="6"/>
  <c r="A46" i="6"/>
  <c r="E45" i="6"/>
  <c r="A45" i="6"/>
  <c r="E44" i="6"/>
  <c r="A44" i="6"/>
  <c r="E43" i="6"/>
  <c r="A43" i="6"/>
  <c r="F42" i="6"/>
  <c r="E42" i="6"/>
  <c r="D42" i="6"/>
  <c r="C42" i="6"/>
  <c r="A39" i="6"/>
  <c r="F36" i="6"/>
  <c r="D36" i="6"/>
  <c r="D35" i="6" s="1"/>
  <c r="C36" i="6"/>
  <c r="C35" i="6" s="1"/>
  <c r="A36" i="6"/>
  <c r="A35" i="6"/>
  <c r="E34" i="6"/>
  <c r="A34" i="6"/>
  <c r="E33" i="6"/>
  <c r="A33" i="6"/>
  <c r="E32" i="6"/>
  <c r="A32" i="6"/>
  <c r="E31" i="6"/>
  <c r="A31" i="6"/>
  <c r="E30" i="6"/>
  <c r="A30" i="6"/>
  <c r="E29" i="6"/>
  <c r="A29" i="6"/>
  <c r="E28" i="6"/>
  <c r="A28" i="6"/>
  <c r="E27" i="6"/>
  <c r="A27" i="6"/>
  <c r="E26" i="6"/>
  <c r="A26" i="6"/>
  <c r="E25" i="6"/>
  <c r="A25" i="6"/>
  <c r="E24" i="6"/>
  <c r="A24" i="6"/>
  <c r="E23" i="6"/>
  <c r="A23" i="6"/>
  <c r="E22" i="6"/>
  <c r="A22" i="6"/>
  <c r="E21" i="6"/>
  <c r="A21" i="6"/>
  <c r="E20" i="6"/>
  <c r="A20" i="6"/>
  <c r="E19" i="6"/>
  <c r="A19" i="6"/>
  <c r="E18" i="6"/>
  <c r="A18" i="6"/>
  <c r="E17" i="6"/>
  <c r="A17" i="6"/>
  <c r="E16" i="6"/>
  <c r="A16" i="6"/>
  <c r="E15" i="6"/>
  <c r="A15" i="6"/>
  <c r="E14" i="6"/>
  <c r="A14" i="6"/>
  <c r="E13" i="6"/>
  <c r="A13" i="6"/>
  <c r="F12" i="6"/>
  <c r="E12" i="6"/>
  <c r="D12" i="6"/>
  <c r="C12" i="6"/>
  <c r="A9" i="6"/>
  <c r="A7" i="6"/>
  <c r="E36" i="6" l="1"/>
  <c r="E35" i="6"/>
</calcChain>
</file>

<file path=xl/sharedStrings.xml><?xml version="1.0" encoding="utf-8"?>
<sst xmlns="http://schemas.openxmlformats.org/spreadsheetml/2006/main" count="513" uniqueCount="409">
  <si>
    <t>Davos Klosters</t>
  </si>
  <si>
    <t>Flims Laax</t>
  </si>
  <si>
    <t>Lenzerheide</t>
  </si>
  <si>
    <t>Prättigau</t>
  </si>
  <si>
    <t>Valposchiavo</t>
  </si>
  <si>
    <t>Viamala</t>
  </si>
  <si>
    <t>Disentis Sedrun</t>
  </si>
  <si>
    <t>Vals</t>
  </si>
  <si>
    <t>Graubünden</t>
  </si>
  <si>
    <t>San Bernardino, Mesolcina/Calanca</t>
  </si>
  <si>
    <t>Bündner Herrschaft</t>
  </si>
  <si>
    <t>Schweiz</t>
  </si>
  <si>
    <t>Deutschland</t>
  </si>
  <si>
    <t>Niederlande</t>
  </si>
  <si>
    <t>Italien</t>
  </si>
  <si>
    <t>Belgien</t>
  </si>
  <si>
    <t>Frankreich</t>
  </si>
  <si>
    <t>Österreich</t>
  </si>
  <si>
    <t>Japan</t>
  </si>
  <si>
    <t>Luxemburg</t>
  </si>
  <si>
    <t>Polen</t>
  </si>
  <si>
    <t>Russland</t>
  </si>
  <si>
    <t xml:space="preserve">Indien </t>
  </si>
  <si>
    <t>Brasilien</t>
  </si>
  <si>
    <t>Vereinigtes Königreich</t>
  </si>
  <si>
    <t>Arosa</t>
  </si>
  <si>
    <t>Surselva</t>
  </si>
  <si>
    <t>Bregaglia Engadin</t>
  </si>
  <si>
    <t>Engadin St. Moritz</t>
  </si>
  <si>
    <t>Scuol Samnaun Val Müstair</t>
  </si>
  <si>
    <t>Ostschweiz</t>
  </si>
  <si>
    <t>Genf</t>
  </si>
  <si>
    <t>Wallis</t>
  </si>
  <si>
    <t>Tessin</t>
  </si>
  <si>
    <t>Zürich Region</t>
  </si>
  <si>
    <t>Luzern / Vierwaldstättersee</t>
  </si>
  <si>
    <t>Basel Region</t>
  </si>
  <si>
    <t>Bern Region</t>
  </si>
  <si>
    <t>Jura &amp; Drei-Seen-Land</t>
  </si>
  <si>
    <t>Fribourg Region</t>
  </si>
  <si>
    <t>Schweden</t>
  </si>
  <si>
    <t>Norwegen</t>
  </si>
  <si>
    <t>Dänemark</t>
  </si>
  <si>
    <t>Finnland</t>
  </si>
  <si>
    <t>Aktuelle Zuordnung der politischen Gemeinden zu Destinationen:</t>
  </si>
  <si>
    <t>Golfstaaten</t>
  </si>
  <si>
    <t>Tschechien</t>
  </si>
  <si>
    <t>Vereinigte Staaten</t>
  </si>
  <si>
    <t>China / Hongkong / Taiwan (Chin. Taipei)</t>
  </si>
  <si>
    <t>Waadt</t>
  </si>
  <si>
    <t>-</t>
  </si>
  <si>
    <t>Kontakt: Luzius Stricker, 081 257 23 74, luzius.stricker@awt.gr.ch</t>
  </si>
  <si>
    <t>Veränderung zum
5-Jahresmittel 
in %</t>
  </si>
  <si>
    <t>Val Surses</t>
  </si>
  <si>
    <t>Aargau und Solothurn Region</t>
  </si>
  <si>
    <t xml:space="preserve"> 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</si>
  <si>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</si>
  <si>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</si>
  <si>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</si>
  <si>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</si>
  <si>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</si>
  <si>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</si>
  <si>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</si>
  <si>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</si>
  <si>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</si>
  <si>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</si>
  <si>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</si>
  <si>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T1-2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</si>
  <si>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</si>
  <si>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</si>
  <si>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</si>
  <si>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</si>
  <si>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</si>
  <si>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</si>
  <si>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</si>
  <si>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</si>
  <si>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</si>
  <si>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</si>
  <si>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</si>
  <si>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</si>
  <si>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</si>
  <si>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</si>
  <si>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</si>
  <si>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</si>
  <si>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</si>
  <si>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</si>
  <si>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</si>
  <si>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</si>
  <si>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</si>
  <si>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</si>
  <si>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</si>
  <si>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</si>
  <si>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</si>
  <si>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</si>
  <si>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</si>
  <si>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</si>
  <si>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</si>
  <si>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</si>
  <si>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&lt;Legende_1&gt;</t>
  </si>
  <si>
    <t>&lt;Legende_2&gt;</t>
  </si>
  <si>
    <t>&lt;Legende_3&gt;</t>
  </si>
  <si>
    <t>&lt;Quelle_1&gt;</t>
  </si>
  <si>
    <t>&lt;Aktualisierung&gt;</t>
  </si>
  <si>
    <t>Quelle: BFS (HESTA)</t>
  </si>
  <si>
    <t>&lt;Titel1&gt;</t>
  </si>
  <si>
    <t>&lt;Titel2&gt;</t>
  </si>
  <si>
    <t>&lt;Titel3&gt;</t>
  </si>
  <si>
    <t>&lt;Zeilentitel_28&gt;</t>
  </si>
  <si>
    <t>&lt;Zeilentitel_29&gt;</t>
  </si>
  <si>
    <t>&lt;Zeilentitel_30&gt;</t>
  </si>
  <si>
    <t>&lt;Zeilentitel_31&gt;</t>
  </si>
  <si>
    <t>&lt;Zeilentitel_32&gt;</t>
  </si>
  <si>
    <t>&lt;Zeilentitel_33&gt;</t>
  </si>
  <si>
    <t>&lt;Zeilentitel_34&gt;</t>
  </si>
  <si>
    <t>&lt;Zeilentitel_35&gt;</t>
  </si>
  <si>
    <t>&lt;Zeilentitel_36&gt;</t>
  </si>
  <si>
    <t>&lt;Zeilentitel_37&gt;</t>
  </si>
  <si>
    <t>&lt;Zeilentitel_38&gt;</t>
  </si>
  <si>
    <t>&lt;Zeilentitel_39&gt;</t>
  </si>
  <si>
    <t>&lt;Zeilentitel_40&gt;</t>
  </si>
  <si>
    <t>&lt;Zeilentitel_41&gt;</t>
  </si>
  <si>
    <t>&lt;Zeilentitel_42&gt;</t>
  </si>
  <si>
    <t>&lt;Zeilentitel_43&gt;</t>
  </si>
  <si>
    <t>&lt;Zeilentitel_44&gt;</t>
  </si>
  <si>
    <t>&lt;Zeilentitel_45&gt;</t>
  </si>
  <si>
    <t>&lt;Zeilentitel_46&gt;</t>
  </si>
  <si>
    <t>&lt;Zeilentitel_47&gt;</t>
  </si>
  <si>
    <t>&lt;Zeilentitel_48&gt;</t>
  </si>
  <si>
    <t>&lt;Zeilentitel_49&gt;</t>
  </si>
  <si>
    <t>&lt;Zeilentitel_50&gt;</t>
  </si>
  <si>
    <t>&lt;Zeilentitel_51&gt;</t>
  </si>
  <si>
    <t>&lt;Zeilentitel_52&gt;</t>
  </si>
  <si>
    <t>&lt;Zeilentitel_53&gt;</t>
  </si>
  <si>
    <t>&lt;Zeilentitel_54&gt;</t>
  </si>
  <si>
    <t>&lt;Zeilentitel_55&gt;</t>
  </si>
  <si>
    <t>&lt;Zeilentitel_56&gt;</t>
  </si>
  <si>
    <t>&lt;Zeilentitel_57&gt;</t>
  </si>
  <si>
    <t>&lt;SpaltenTitel_4&gt;</t>
  </si>
  <si>
    <t>&lt;SpaltenTitel_5&gt;</t>
  </si>
  <si>
    <t>&lt;SpaltenTitel_6&gt;</t>
  </si>
  <si>
    <t>&lt;SpaltenTitel_7&gt;</t>
  </si>
  <si>
    <t>&lt;SpaltenTitel_8&gt;</t>
  </si>
  <si>
    <t>Midada a la
media da 5 onns 
en %</t>
  </si>
  <si>
    <t>Variazione alla media quinquennale in %</t>
  </si>
  <si>
    <t>Attribuziun actuala da las vischnancas politicas a destinaziuns:</t>
  </si>
  <si>
    <t>Contact: Luzius Stricker, 081 257 23 74, luzius.stricker@awt.gr.ch</t>
  </si>
  <si>
    <t>Contatto: Luzius Stricker, 081 257 23 74, luzius.stricker@awt.gr.ch</t>
  </si>
  <si>
    <t>Attuale assegnazione dei comuni politici alle destinazioni:</t>
  </si>
  <si>
    <t>Svizra</t>
  </si>
  <si>
    <t>Germania</t>
  </si>
  <si>
    <t>Italia</t>
  </si>
  <si>
    <t>Frantscha</t>
  </si>
  <si>
    <t>Austria</t>
  </si>
  <si>
    <t>Pajais Bass</t>
  </si>
  <si>
    <t>Belgia</t>
  </si>
  <si>
    <t>Reginavel Unì</t>
  </si>
  <si>
    <t>Stadis Unids</t>
  </si>
  <si>
    <t>Pologna</t>
  </si>
  <si>
    <t>Republica Tscheca</t>
  </si>
  <si>
    <t>Russia</t>
  </si>
  <si>
    <t>Svezia</t>
  </si>
  <si>
    <t>Norvegia</t>
  </si>
  <si>
    <t>Danemarc</t>
  </si>
  <si>
    <t>Finlanda</t>
  </si>
  <si>
    <t>Giapun</t>
  </si>
  <si>
    <t>China (incl. Hongkong) / Taiwan</t>
  </si>
  <si>
    <t xml:space="preserve">India </t>
  </si>
  <si>
    <t>Brasilia</t>
  </si>
  <si>
    <t>Stadis dal Golf</t>
  </si>
  <si>
    <t>Ulteriurs pajais d'origin</t>
  </si>
  <si>
    <t>Grischun</t>
  </si>
  <si>
    <t>Svizzera</t>
  </si>
  <si>
    <t>Francia</t>
  </si>
  <si>
    <t>Paesi Bassi</t>
  </si>
  <si>
    <t>Belgio</t>
  </si>
  <si>
    <t>Lussemburgo</t>
  </si>
  <si>
    <t>Regno Unito</t>
  </si>
  <si>
    <t>Stati Uniti</t>
  </si>
  <si>
    <t>Polonia</t>
  </si>
  <si>
    <t>Repubblica Ceca</t>
  </si>
  <si>
    <t>Danimarca</t>
  </si>
  <si>
    <t>Finlandia</t>
  </si>
  <si>
    <t>Giappone</t>
  </si>
  <si>
    <t>Cina (inclusa Hong Kong) / Taiwan</t>
  </si>
  <si>
    <t>Brasile</t>
  </si>
  <si>
    <t>Stati del Golfo</t>
  </si>
  <si>
    <t>Altri paesi di origine</t>
  </si>
  <si>
    <t>Grigioni</t>
  </si>
  <si>
    <t xml:space="preserve">Arosa </t>
  </si>
  <si>
    <t>Bündner Herschaft</t>
  </si>
  <si>
    <t>Val Surses (inkl. Gde Albula/Alvra)</t>
  </si>
  <si>
    <t>Regiun Argovia e Solturn</t>
  </si>
  <si>
    <t>Regione Argovia e Soletta</t>
  </si>
  <si>
    <t>Regiun Basilea</t>
  </si>
  <si>
    <t>Regione Basilea</t>
  </si>
  <si>
    <t>Regiun Berna</t>
  </si>
  <si>
    <t>Regione Berna</t>
  </si>
  <si>
    <t>Regiun da Friburg</t>
  </si>
  <si>
    <t>Regione Friburgo</t>
  </si>
  <si>
    <t>Genevra</t>
  </si>
  <si>
    <t>Ginevra</t>
  </si>
  <si>
    <t>Giura &amp; Trais lais</t>
  </si>
  <si>
    <t>Giura &amp; Tre Laghi</t>
  </si>
  <si>
    <t>Lucerna / Lai dals Quatter Chantuns</t>
  </si>
  <si>
    <t>Lucerna / Lago dei Quattro Cantoni</t>
  </si>
  <si>
    <t>Svizra Orientala</t>
  </si>
  <si>
    <t>Svizzera orientale</t>
  </si>
  <si>
    <t>Ticino</t>
  </si>
  <si>
    <t>Vallais</t>
  </si>
  <si>
    <t>Vallese</t>
  </si>
  <si>
    <t>Vad</t>
  </si>
  <si>
    <t>Vaud</t>
  </si>
  <si>
    <t>Regiun da Turitg</t>
  </si>
  <si>
    <t>Regione Zurigo</t>
  </si>
  <si>
    <t>Destinationen/destinaziuns/destinazioni</t>
  </si>
  <si>
    <t>Funtauna: UST (HESTA)</t>
  </si>
  <si>
    <t>Fonte: UST (HESTA)</t>
  </si>
  <si>
    <t>T2</t>
  </si>
  <si>
    <t>&lt;T2Titel1&gt;</t>
  </si>
  <si>
    <t>&lt;T3Titel2&gt;</t>
  </si>
  <si>
    <t>&lt;T3Titel3&gt;</t>
  </si>
  <si>
    <t>&lt;T3SpaltenTitel_1&gt;</t>
  </si>
  <si>
    <t>&lt;T3SpaltenTitel_2&gt;</t>
  </si>
  <si>
    <t>&lt;T3SpaltenTitel_5&gt;</t>
  </si>
  <si>
    <t>&lt;T3SpaltenTitel_6&gt;</t>
  </si>
  <si>
    <t>&lt;T3Legende_3&gt;</t>
  </si>
  <si>
    <t>&lt;T3Aktualisierung&gt;</t>
  </si>
  <si>
    <t>&lt;T2Titel2&gt;</t>
  </si>
  <si>
    <t>&lt;T2Titel3&gt;</t>
  </si>
  <si>
    <t>&lt;T2SpaltenTitel_1&gt;</t>
  </si>
  <si>
    <t>&lt;T2SpaltenTitel_2&gt;</t>
  </si>
  <si>
    <t>&lt;T2SpaltenTitel_5&gt;</t>
  </si>
  <si>
    <t>&lt;T2SpaltenTitel_6&gt;</t>
  </si>
  <si>
    <t>&lt;T2Legende_3&gt;</t>
  </si>
  <si>
    <t>&lt;T2Aktualisierung&gt;</t>
  </si>
  <si>
    <t>&lt;T3Titel1&gt;</t>
  </si>
  <si>
    <t>T3</t>
  </si>
  <si>
    <t>T4</t>
  </si>
  <si>
    <t>&lt;T4Titel1&gt;</t>
  </si>
  <si>
    <t>&lt;T4Titel2&gt;</t>
  </si>
  <si>
    <t>&lt;T4Titel3&gt;</t>
  </si>
  <si>
    <t>&lt;T4SpaltenTitel_1&gt;</t>
  </si>
  <si>
    <t>&lt;T4SpaltenTitel_2&gt;</t>
  </si>
  <si>
    <t>&lt;T5SpaltenTitel_5&gt;</t>
  </si>
  <si>
    <t>&lt;T4SpaltenTitel_6&gt;</t>
  </si>
  <si>
    <t>&lt;T4SpaltenTitel_5&gt;</t>
  </si>
  <si>
    <t>&lt;T4Legende_3&gt;</t>
  </si>
  <si>
    <t>&lt;T4Aktualisierung&gt;</t>
  </si>
  <si>
    <t>T5</t>
  </si>
  <si>
    <t>&lt;T5Titel1&gt;</t>
  </si>
  <si>
    <t>&lt;T5Titel2&gt;</t>
  </si>
  <si>
    <t>&lt;T5Titel3&gt;</t>
  </si>
  <si>
    <t>&lt;T5SpaltenTitel_1&gt;</t>
  </si>
  <si>
    <t>&lt;T5SpaltenTitel_2&gt;</t>
  </si>
  <si>
    <t>&lt;T5SpaltenTitel_6&gt;</t>
  </si>
  <si>
    <t>&lt;T5Legende_3&gt;</t>
  </si>
  <si>
    <t>&lt;T5Aktualisierung&gt;</t>
  </si>
  <si>
    <t>T6</t>
  </si>
  <si>
    <t>&lt;T6Titel1&gt;</t>
  </si>
  <si>
    <t>&lt;T6Titel2&gt;</t>
  </si>
  <si>
    <t>&lt;T6Titel3&gt;</t>
  </si>
  <si>
    <t>&lt;T6SpaltenTitel_1&gt;</t>
  </si>
  <si>
    <t>&lt;T6SpaltenTitel_2&gt;</t>
  </si>
  <si>
    <t>&lt;T6SpaltenTitel_5&gt;</t>
  </si>
  <si>
    <t>&lt;T6SpaltenTitel_6&gt;</t>
  </si>
  <si>
    <t>&lt;T6Legende_3&gt;</t>
  </si>
  <si>
    <t>&lt;T6Aktualisierung&gt;</t>
  </si>
  <si>
    <t>T7</t>
  </si>
  <si>
    <t>&lt;T7Titel1&gt;</t>
  </si>
  <si>
    <t>&lt;T7Titel2&gt;</t>
  </si>
  <si>
    <t>&lt;T7Titel3&gt;</t>
  </si>
  <si>
    <t>&lt;T7SpaltenTitel_1&gt;</t>
  </si>
  <si>
    <t>&lt;T7SpaltenTitel_2&gt;</t>
  </si>
  <si>
    <t>&lt;T7SpaltenTitel_5&gt;</t>
  </si>
  <si>
    <t>&lt;T7SpaltenTitel_6&gt;</t>
  </si>
  <si>
    <t>&lt;T8Legende_3&gt;</t>
  </si>
  <si>
    <t>&lt;T7Aktualisierung&gt;</t>
  </si>
  <si>
    <t>&lt;T7Legende_3&gt;</t>
  </si>
  <si>
    <t>T8</t>
  </si>
  <si>
    <t>&lt;T8Titel1&gt;</t>
  </si>
  <si>
    <t>&lt;T8Titel2&gt;</t>
  </si>
  <si>
    <t>&lt;T8Titel3&gt;</t>
  </si>
  <si>
    <t>&lt;T8SpaltenTitel_1&gt;</t>
  </si>
  <si>
    <t>&lt;T8SpaltenTitel_2&gt;</t>
  </si>
  <si>
    <t>&lt;T8SpaltenTitel_5&gt;</t>
  </si>
  <si>
    <t>&lt;T8SpaltenTitel_6&gt;</t>
  </si>
  <si>
    <t>&lt;T8Aktualisierung&gt;</t>
  </si>
  <si>
    <t>T9</t>
  </si>
  <si>
    <t>&lt;T9Titel1&gt;</t>
  </si>
  <si>
    <t>&lt;T9Titel2&gt;</t>
  </si>
  <si>
    <t>&lt;T9Titel3&gt;</t>
  </si>
  <si>
    <t>&lt;T9SpaltenTitel_1&gt;</t>
  </si>
  <si>
    <t>&lt;T9SpaltenTitel_2&gt;</t>
  </si>
  <si>
    <t>&lt;T9SpaltenTitel_5&gt;</t>
  </si>
  <si>
    <t>&lt;T9SpaltenTitel_6&gt;</t>
  </si>
  <si>
    <t>&lt;T9Legende_3&gt;</t>
  </si>
  <si>
    <t>&lt;T9Aktualisierung&gt;</t>
  </si>
  <si>
    <t>T10</t>
  </si>
  <si>
    <t>&lt;T10Titel1&gt;</t>
  </si>
  <si>
    <t>&lt;T10Titel2&gt;</t>
  </si>
  <si>
    <t>&lt;T10Titel3&gt;</t>
  </si>
  <si>
    <t>&lt;T10SpaltenTitel_1&gt;</t>
  </si>
  <si>
    <t>&lt;T10SpaltenTitel_2&gt;</t>
  </si>
  <si>
    <t>&lt;T10SpaltenTitel_5&gt;</t>
  </si>
  <si>
    <t>&lt;T10SpaltenTitel_6&gt;</t>
  </si>
  <si>
    <t>&lt;T10Legende_3&gt;</t>
  </si>
  <si>
    <t>&lt;T10Aktualisierung&gt;</t>
  </si>
  <si>
    <t>T11</t>
  </si>
  <si>
    <t>&lt;T11Titel1&gt;</t>
  </si>
  <si>
    <t>&lt;T11Titel2&gt;</t>
  </si>
  <si>
    <t>&lt;T11Titel3&gt;</t>
  </si>
  <si>
    <t>&lt;T11SpaltenTitel_1&gt;</t>
  </si>
  <si>
    <t>&lt;T11SpaltenTitel_2&gt;</t>
  </si>
  <si>
    <t>&lt;T11SpaltenTitel_5&gt;</t>
  </si>
  <si>
    <t>&lt;T11SpaltenTitel_6&gt;</t>
  </si>
  <si>
    <t>&lt;T11Legende_3&gt;</t>
  </si>
  <si>
    <t>&lt;T11Aktualisierung&gt;</t>
  </si>
  <si>
    <t>&lt;T12Titel1&gt;</t>
  </si>
  <si>
    <t>&lt;T12Titel2&gt;</t>
  </si>
  <si>
    <t>&lt;T12Titel3&gt;</t>
  </si>
  <si>
    <t>&lt;T12SpaltenTitel_1&gt;</t>
  </si>
  <si>
    <t>&lt;T12SpaltenTitel_2&gt;</t>
  </si>
  <si>
    <t>&lt;T12SpaltenTitel_5&gt;</t>
  </si>
  <si>
    <t>&lt;T12SpaltenTitel_6&gt;</t>
  </si>
  <si>
    <t>&lt;T12Legende_3&gt;</t>
  </si>
  <si>
    <t>&lt;T12Aktualisierung&gt;</t>
  </si>
  <si>
    <t>T12</t>
  </si>
  <si>
    <t>INPUT JAHRESZAHL</t>
  </si>
  <si>
    <t>&lt;Titelprov&gt;</t>
  </si>
  <si>
    <t>wenn definitiv-&gt; Zeile oben mit diesem Text ersetzen</t>
  </si>
  <si>
    <t>definitive Ergebnisse</t>
  </si>
  <si>
    <t>resultats definitivs</t>
  </si>
  <si>
    <t>cifre definitive</t>
  </si>
  <si>
    <t>Übrige Herkunftsländer</t>
  </si>
  <si>
    <r>
      <t xml:space="preserve">Daten des Februar 2024 erscheinen am </t>
    </r>
    <r>
      <rPr>
        <b/>
        <sz val="10"/>
        <rFont val="Arial"/>
        <family val="2"/>
      </rPr>
      <t>8. April 2024.</t>
    </r>
  </si>
  <si>
    <r>
      <t xml:space="preserve">Datas dal fevrer 2024 cumparan ils </t>
    </r>
    <r>
      <rPr>
        <b/>
        <sz val="10"/>
        <rFont val="Arial"/>
        <family val="2"/>
      </rPr>
      <t>8 da avrigl 2024.</t>
    </r>
  </si>
  <si>
    <r>
      <t xml:space="preserve">I dati del febbraio 2024 saranno pubblicati il </t>
    </r>
    <r>
      <rPr>
        <b/>
        <sz val="10"/>
        <rFont val="Arial"/>
        <family val="2"/>
      </rPr>
      <t>8 aprile 2024.</t>
    </r>
  </si>
  <si>
    <t>Letztmals aktualisiert am: 07.03.2024</t>
  </si>
  <si>
    <t>Ultima actualisaziun: 07.03.2024</t>
  </si>
  <si>
    <t>Ultimo aggiornamento: 07.03.2024</t>
  </si>
  <si>
    <r>
      <t xml:space="preserve">Daten des März 2024 erscheinen am </t>
    </r>
    <r>
      <rPr>
        <b/>
        <sz val="10"/>
        <rFont val="Arial"/>
        <family val="2"/>
      </rPr>
      <t>6. Mai 2024.</t>
    </r>
  </si>
  <si>
    <r>
      <t xml:space="preserve">Datas dal mars 2024 cumparan ils </t>
    </r>
    <r>
      <rPr>
        <b/>
        <sz val="10"/>
        <rFont val="Arial"/>
        <family val="2"/>
      </rPr>
      <t>6 da matg 2024</t>
    </r>
    <r>
      <rPr>
        <sz val="10"/>
        <rFont val="Arial"/>
        <family val="2"/>
      </rPr>
      <t>.</t>
    </r>
  </si>
  <si>
    <r>
      <t xml:space="preserve">I dati del marzo 2024 saranno pubblicati il </t>
    </r>
    <r>
      <rPr>
        <b/>
        <sz val="10"/>
        <rFont val="Arial"/>
        <family val="2"/>
      </rPr>
      <t>6 maggio 2024</t>
    </r>
    <r>
      <rPr>
        <sz val="10"/>
        <rFont val="Arial"/>
        <family val="2"/>
      </rPr>
      <t>.</t>
    </r>
  </si>
  <si>
    <t>Letztmals aktualisiert am: 08.04.2024</t>
  </si>
  <si>
    <t>Ultima actualisaziun: 08.04.2024</t>
  </si>
  <si>
    <t>Ultimo aggiornamento: 08.04.2024</t>
  </si>
  <si>
    <t>&lt;Legende_X&gt;</t>
  </si>
  <si>
    <t>Letztmals aktualisiert am: 06.06.2024</t>
  </si>
  <si>
    <t>Ultima actualisaziun: 06.06.2024</t>
  </si>
  <si>
    <t>Ultimo aggiornamento: 06.06.2024</t>
  </si>
  <si>
    <t>Letztmals aktualisiert am: 06.05.2024</t>
  </si>
  <si>
    <t>Ultima actualisaziun: 06.05.2024</t>
  </si>
  <si>
    <t>Ultimo aggiornamento: 06.05.2024</t>
  </si>
  <si>
    <t>Letztmals aktualisiert am: 05.07.2024</t>
  </si>
  <si>
    <t>Ultima actualisaziun: 05.07.2024</t>
  </si>
  <si>
    <t>Ultimo aggiornamento: 05.07.2024</t>
  </si>
  <si>
    <t>Letztmals aktualisiert am: 05.08.2024</t>
  </si>
  <si>
    <t>Ultima actualisaziun: 05.08.2024</t>
  </si>
  <si>
    <t>Ultimo aggiornamento: 05.08.2024</t>
  </si>
  <si>
    <t>Letztmals aktualisiert am: 05.09.2024</t>
  </si>
  <si>
    <t>Ultima actualisaziun: 05.09.2024</t>
  </si>
  <si>
    <t>Ultimo aggiornamento: 05.09.2024</t>
  </si>
  <si>
    <t>Letztmals aktualisiert am: 04.10.2024</t>
  </si>
  <si>
    <t>Ultima actualisaziun: 04.10.2024</t>
  </si>
  <si>
    <t>Ultimo aggiornamento: 04.10.2024</t>
  </si>
  <si>
    <t>Letztmals aktualisiert am: 04.11.2024</t>
  </si>
  <si>
    <t>Ultima actualisaziun: 04.11.2024</t>
  </si>
  <si>
    <t>Ultimo aggiornamento: 04.11.2024</t>
  </si>
  <si>
    <r>
      <t xml:space="preserve">Daten des April 2024 erscheinen am </t>
    </r>
    <r>
      <rPr>
        <b/>
        <sz val="10"/>
        <rFont val="Arial"/>
        <family val="2"/>
      </rPr>
      <t>6. Juni 2024.</t>
    </r>
  </si>
  <si>
    <r>
      <t xml:space="preserve">Datas dal avrigl 2024 cumparan ils </t>
    </r>
    <r>
      <rPr>
        <b/>
        <sz val="10"/>
        <rFont val="Arial"/>
        <family val="2"/>
      </rPr>
      <t>6 da zercladur 2024.</t>
    </r>
  </si>
  <si>
    <r>
      <t xml:space="preserve">I dati del aprile 2024 saranno pubblicati il </t>
    </r>
    <r>
      <rPr>
        <b/>
        <sz val="10"/>
        <rFont val="Arial"/>
        <family val="2"/>
      </rPr>
      <t>6 giugno 2024.</t>
    </r>
  </si>
  <si>
    <r>
      <t xml:space="preserve">Daten des Mai 2024 erscheinen am </t>
    </r>
    <r>
      <rPr>
        <b/>
        <sz val="10"/>
        <rFont val="Arial"/>
        <family val="2"/>
      </rPr>
      <t>5. Juli 2024.</t>
    </r>
  </si>
  <si>
    <r>
      <t>Datas dal matg 2024 cumparan ils</t>
    </r>
    <r>
      <rPr>
        <b/>
        <sz val="10"/>
        <rFont val="Arial"/>
        <family val="2"/>
      </rPr>
      <t xml:space="preserve"> 5 da fanadur 2024</t>
    </r>
    <r>
      <rPr>
        <sz val="10"/>
        <rFont val="Arial"/>
        <family val="2"/>
      </rPr>
      <t>.</t>
    </r>
  </si>
  <si>
    <r>
      <t>I dati del maggio 2024 saranno pubblicati il</t>
    </r>
    <r>
      <rPr>
        <b/>
        <sz val="10"/>
        <rFont val="Arial"/>
        <family val="2"/>
      </rPr>
      <t xml:space="preserve"> 5 luglio 2024.</t>
    </r>
  </si>
  <si>
    <r>
      <t>Daten des Juni 2024 erscheinen am</t>
    </r>
    <r>
      <rPr>
        <b/>
        <sz val="10"/>
        <rFont val="Arial"/>
        <family val="2"/>
      </rPr>
      <t xml:space="preserve"> 5. August 2024.</t>
    </r>
  </si>
  <si>
    <r>
      <t>Datas dal zercladur 2024 cumparan ils</t>
    </r>
    <r>
      <rPr>
        <b/>
        <sz val="10"/>
        <rFont val="Arial"/>
        <family val="2"/>
      </rPr>
      <t xml:space="preserve"> 5 da avust 2024.</t>
    </r>
  </si>
  <si>
    <r>
      <t>I dati del giugno 2024 saranno pubblicati il</t>
    </r>
    <r>
      <rPr>
        <b/>
        <sz val="10"/>
        <rFont val="Arial"/>
        <family val="2"/>
      </rPr>
      <t xml:space="preserve"> 5 agosto 2024.</t>
    </r>
  </si>
  <si>
    <r>
      <t xml:space="preserve">Daten des Juli 2024 erscheinen am </t>
    </r>
    <r>
      <rPr>
        <b/>
        <sz val="10"/>
        <rFont val="Arial"/>
        <family val="2"/>
      </rPr>
      <t>5. September 2024.</t>
    </r>
  </si>
  <si>
    <r>
      <t xml:space="preserve">Datas dal fanadur 2024 cumparan ils </t>
    </r>
    <r>
      <rPr>
        <b/>
        <sz val="10"/>
        <rFont val="Arial"/>
        <family val="2"/>
      </rPr>
      <t>5 da september 2024.</t>
    </r>
  </si>
  <si>
    <r>
      <t xml:space="preserve">I dati del luglio 2024 saranno pubblicati il </t>
    </r>
    <r>
      <rPr>
        <b/>
        <sz val="10"/>
        <rFont val="Arial"/>
        <family val="2"/>
      </rPr>
      <t>5 settembre 2024.</t>
    </r>
  </si>
  <si>
    <r>
      <t>Daten des August 2024 erscheinen am</t>
    </r>
    <r>
      <rPr>
        <b/>
        <sz val="10"/>
        <rFont val="Arial"/>
        <family val="2"/>
      </rPr>
      <t xml:space="preserve"> 4. Oktober 2024.</t>
    </r>
  </si>
  <si>
    <r>
      <t>Datas dal avust 2024 cumparan ils</t>
    </r>
    <r>
      <rPr>
        <b/>
        <sz val="10"/>
        <rFont val="Arial"/>
        <family val="2"/>
      </rPr>
      <t xml:space="preserve"> 4 da october 2024</t>
    </r>
    <r>
      <rPr>
        <sz val="10"/>
        <rFont val="Arial"/>
        <family val="2"/>
      </rPr>
      <t>.</t>
    </r>
  </si>
  <si>
    <r>
      <t xml:space="preserve">I dati del agosto 2024 saranno pubblicati il </t>
    </r>
    <r>
      <rPr>
        <b/>
        <sz val="10"/>
        <rFont val="Arial"/>
        <family val="2"/>
      </rPr>
      <t>4 ottobre 2024.</t>
    </r>
  </si>
  <si>
    <r>
      <t>Daten des September 2024 erscheinen am</t>
    </r>
    <r>
      <rPr>
        <b/>
        <sz val="10"/>
        <rFont val="Arial"/>
        <family val="2"/>
      </rPr>
      <t xml:space="preserve"> 4. November 2024.</t>
    </r>
  </si>
  <si>
    <r>
      <t>Datas dal september 2024 cumparan ils</t>
    </r>
    <r>
      <rPr>
        <b/>
        <sz val="10"/>
        <rFont val="Arial"/>
        <family val="2"/>
      </rPr>
      <t xml:space="preserve"> 4 da november 2024</t>
    </r>
    <r>
      <rPr>
        <sz val="10"/>
        <rFont val="Arial"/>
        <family val="2"/>
      </rPr>
      <t>.</t>
    </r>
  </si>
  <si>
    <r>
      <t xml:space="preserve">I dati del settembre 2024 saranno pubblicati il </t>
    </r>
    <r>
      <rPr>
        <b/>
        <sz val="10"/>
        <rFont val="Arial"/>
        <family val="2"/>
      </rPr>
      <t>3 novembre 2024.</t>
    </r>
  </si>
  <si>
    <r>
      <t xml:space="preserve">Daten des Oktober 2024 erscheinen am </t>
    </r>
    <r>
      <rPr>
        <b/>
        <sz val="10"/>
        <rFont val="Arial"/>
        <family val="2"/>
      </rPr>
      <t>5. Dezember 2024.</t>
    </r>
  </si>
  <si>
    <r>
      <t xml:space="preserve">Datas dal oktober 2024 cumparan ils </t>
    </r>
    <r>
      <rPr>
        <b/>
        <sz val="10"/>
        <rFont val="Arial"/>
        <family val="2"/>
      </rPr>
      <t>5 da dezember 2024.</t>
    </r>
  </si>
  <si>
    <r>
      <t xml:space="preserve">I dati del ottobre 2024 saranno pubblicati il </t>
    </r>
    <r>
      <rPr>
        <b/>
        <sz val="10"/>
        <rFont val="Arial"/>
        <family val="2"/>
      </rPr>
      <t>5 dicembre 2024.</t>
    </r>
  </si>
  <si>
    <t>Letztmals aktualisiert am: 05.12.2024</t>
  </si>
  <si>
    <t>Ultima actualisaziun: 05.12.2024</t>
  </si>
  <si>
    <t>Ultimo aggiornamento: 05.12.2024</t>
  </si>
  <si>
    <r>
      <t xml:space="preserve">Daten des November 2024 erscheinen am </t>
    </r>
    <r>
      <rPr>
        <b/>
        <sz val="10"/>
        <rFont val="Arial"/>
        <family val="2"/>
      </rPr>
      <t>16. Januar 2025.</t>
    </r>
  </si>
  <si>
    <r>
      <t xml:space="preserve">Datas dal november 2024 cumparan ils </t>
    </r>
    <r>
      <rPr>
        <b/>
        <sz val="10"/>
        <rFont val="Arial"/>
        <family val="2"/>
      </rPr>
      <t>16 da schaner 2025.</t>
    </r>
  </si>
  <si>
    <r>
      <t xml:space="preserve">I dati del novembere 2024 saranno pubblicati il </t>
    </r>
    <r>
      <rPr>
        <b/>
        <sz val="10"/>
        <rFont val="Arial"/>
        <family val="2"/>
      </rPr>
      <t>16 gennaio 2025.</t>
    </r>
  </si>
  <si>
    <r>
      <t>Daten des Dezember 2024 erscheinen am</t>
    </r>
    <r>
      <rPr>
        <b/>
        <sz val="10"/>
        <rFont val="Arial"/>
        <family val="2"/>
      </rPr>
      <t xml:space="preserve"> 20. Februar 2025.</t>
    </r>
  </si>
  <si>
    <r>
      <t xml:space="preserve">Datas dal dezember 2024 cumparan ils </t>
    </r>
    <r>
      <rPr>
        <b/>
        <sz val="10"/>
        <rFont val="Arial"/>
        <family val="2"/>
      </rPr>
      <t>20 da fevrer 2025</t>
    </r>
    <r>
      <rPr>
        <sz val="10"/>
        <rFont val="Arial"/>
        <family val="2"/>
      </rPr>
      <t>.</t>
    </r>
  </si>
  <si>
    <r>
      <t xml:space="preserve">I dati del dicembre 2024 saranno pubblicati il </t>
    </r>
    <r>
      <rPr>
        <b/>
        <sz val="10"/>
        <rFont val="Arial"/>
        <family val="2"/>
      </rPr>
      <t>20 febbraio 2025.</t>
    </r>
  </si>
  <si>
    <t>Letztmals aktualisiert am: 16.01.2025</t>
  </si>
  <si>
    <t>Ultima actualisaziun: 16.01.2025</t>
  </si>
  <si>
    <t>Ultimo aggiornamento: 16.02.2024</t>
  </si>
  <si>
    <r>
      <t xml:space="preserve">Daten des Januar 2025 erscheinen am </t>
    </r>
    <r>
      <rPr>
        <b/>
        <sz val="10"/>
        <rFont val="Arial"/>
        <family val="2"/>
      </rPr>
      <t>10. März 2025.</t>
    </r>
  </si>
  <si>
    <r>
      <t xml:space="preserve">Datas dal schaner 2025 cumparan ils </t>
    </r>
    <r>
      <rPr>
        <b/>
        <sz val="10"/>
        <rFont val="Arial"/>
        <family val="2"/>
      </rPr>
      <t>10 da marz 2025</t>
    </r>
    <r>
      <rPr>
        <sz val="10"/>
        <rFont val="Arial"/>
        <family val="2"/>
      </rPr>
      <t>.</t>
    </r>
  </si>
  <si>
    <r>
      <t xml:space="preserve">I dati del gennaio 2025 saranno pubblicati il </t>
    </r>
    <r>
      <rPr>
        <b/>
        <sz val="10"/>
        <rFont val="Arial"/>
        <family val="2"/>
      </rPr>
      <t>10 marzo 2025.</t>
    </r>
  </si>
  <si>
    <t>Letztmals aktualisiert am: 20.02.2025</t>
  </si>
  <si>
    <t>Ultima actualisaziun: 20.02.2025</t>
  </si>
  <si>
    <t>Ultimo aggiornamento: 20.02.2025</t>
  </si>
  <si>
    <t>Chur</t>
  </si>
  <si>
    <t>Bergün Filisur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</si>
</sst>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#\ ###\ ###\ ##0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0"/>
      <name val="Helv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Segoe UI"/>
      <family val="2"/>
    </font>
    <font>
      <b/>
      <sz val="18"/>
      <name val="Arial"/>
      <family val="2"/>
    </font>
    <font>
      <b/>
      <u/>
      <sz val="10"/>
      <name val="Arial"/>
      <family val="2"/>
    </font>
    <font>
      <b/>
      <sz val="10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1" fillId="0" borderId="0"/>
    <xf numFmtId="0" fontId="8" fillId="0" borderId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" fillId="0" borderId="0"/>
    <xf numFmtId="0" fontId="11" fillId="0" borderId="0"/>
    <xf numFmtId="0" fontId="12" fillId="0" borderId="0" applyNumberFormat="0" applyFill="0" applyBorder="0" applyAlignment="0" applyProtection="0"/>
    <xf numFmtId="0" fontId="14" fillId="0" borderId="0" applyNumberFormat="0" applyBorder="0" applyAlignment="0"/>
    <xf numFmtId="43" fontId="14" fillId="0" borderId="0" applyFont="0" applyFill="0" applyBorder="0" applyAlignment="0" applyProtection="0"/>
  </cellStyleXfs>
  <cellXfs count="125">
    <xf numFmtId="0" fontId="0" fillId="0" borderId="0" xfId="0"/>
    <xf numFmtId="0" fontId="6" fillId="2" borderId="0" xfId="1" applyFont="1" applyFill="1" applyBorder="1"/>
    <xf numFmtId="0" fontId="7" fillId="2" borderId="0" xfId="1" applyFont="1" applyFill="1" applyAlignment="1" applyProtection="1">
      <alignment horizontal="left"/>
      <protection locked="0"/>
    </xf>
    <xf numFmtId="0" fontId="3" fillId="2" borderId="0" xfId="1" applyFill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164" fontId="0" fillId="2" borderId="16" xfId="6" applyNumberFormat="1" applyFont="1" applyFill="1" applyBorder="1" applyAlignment="1">
      <alignment horizontal="right" vertical="center"/>
    </xf>
    <xf numFmtId="164" fontId="0" fillId="2" borderId="17" xfId="6" applyNumberFormat="1" applyFont="1" applyFill="1" applyBorder="1" applyAlignment="1">
      <alignment horizontal="right" vertical="center"/>
    </xf>
    <xf numFmtId="164" fontId="0" fillId="2" borderId="21" xfId="6" applyNumberFormat="1" applyFont="1" applyFill="1" applyBorder="1" applyAlignment="1">
      <alignment horizontal="right" vertical="center"/>
    </xf>
    <xf numFmtId="165" fontId="2" fillId="2" borderId="6" xfId="5" applyNumberFormat="1" applyFont="1" applyFill="1" applyBorder="1" applyAlignment="1">
      <alignment horizontal="right" vertical="center"/>
    </xf>
    <xf numFmtId="165" fontId="2" fillId="2" borderId="9" xfId="5" applyNumberFormat="1" applyFont="1" applyFill="1" applyBorder="1" applyAlignment="1">
      <alignment horizontal="right" vertical="center"/>
    </xf>
    <xf numFmtId="165" fontId="0" fillId="2" borderId="0" xfId="0" applyNumberFormat="1" applyFill="1"/>
    <xf numFmtId="166" fontId="0" fillId="2" borderId="0" xfId="0" applyNumberFormat="1" applyFill="1"/>
    <xf numFmtId="165" fontId="0" fillId="2" borderId="4" xfId="5" applyNumberFormat="1" applyFont="1" applyFill="1" applyBorder="1" applyAlignment="1">
      <alignment horizontal="right" vertical="center"/>
    </xf>
    <xf numFmtId="165" fontId="0" fillId="2" borderId="8" xfId="5" applyNumberFormat="1" applyFont="1" applyFill="1" applyBorder="1" applyAlignment="1">
      <alignment horizontal="right" vertical="center"/>
    </xf>
    <xf numFmtId="165" fontId="0" fillId="2" borderId="5" xfId="5" applyNumberFormat="1" applyFont="1" applyFill="1" applyBorder="1" applyAlignment="1">
      <alignment horizontal="right" vertical="center"/>
    </xf>
    <xf numFmtId="17" fontId="2" fillId="3" borderId="13" xfId="0" applyNumberFormat="1" applyFont="1" applyFill="1" applyBorder="1" applyAlignment="1">
      <alignment horizontal="right" vertical="center" wrapText="1"/>
    </xf>
    <xf numFmtId="17" fontId="0" fillId="3" borderId="14" xfId="0" applyNumberFormat="1" applyFill="1" applyBorder="1" applyAlignment="1">
      <alignment horizontal="right" vertical="center" wrapText="1"/>
    </xf>
    <xf numFmtId="0" fontId="0" fillId="3" borderId="15" xfId="0" applyNumberFormat="1" applyFill="1" applyBorder="1" applyAlignment="1">
      <alignment horizontal="right" vertical="center" wrapText="1"/>
    </xf>
    <xf numFmtId="0" fontId="0" fillId="3" borderId="18" xfId="0" applyNumberForma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/>
    </xf>
    <xf numFmtId="0" fontId="0" fillId="2" borderId="22" xfId="0" applyFill="1" applyBorder="1"/>
    <xf numFmtId="0" fontId="2" fillId="2" borderId="23" xfId="0" applyFont="1" applyFill="1" applyBorder="1" applyAlignment="1">
      <alignment vertical="center"/>
    </xf>
    <xf numFmtId="0" fontId="0" fillId="2" borderId="0" xfId="0" applyNumberFormat="1" applyFill="1"/>
    <xf numFmtId="0" fontId="0" fillId="2" borderId="0" xfId="0" applyNumberFormat="1" applyFill="1" applyBorder="1"/>
    <xf numFmtId="165" fontId="2" fillId="2" borderId="0" xfId="5" applyNumberFormat="1" applyFont="1" applyFill="1" applyBorder="1" applyAlignment="1">
      <alignment horizontal="right" vertical="center"/>
    </xf>
    <xf numFmtId="165" fontId="2" fillId="2" borderId="7" xfId="5" applyNumberFormat="1" applyFont="1" applyFill="1" applyBorder="1" applyAlignment="1">
      <alignment horizontal="right" vertical="center"/>
    </xf>
    <xf numFmtId="0" fontId="2" fillId="2" borderId="0" xfId="0" applyFont="1" applyFill="1"/>
    <xf numFmtId="165" fontId="2" fillId="2" borderId="24" xfId="5" applyNumberFormat="1" applyFont="1" applyFill="1" applyBorder="1" applyAlignment="1">
      <alignment horizontal="right" vertical="center"/>
    </xf>
    <xf numFmtId="164" fontId="0" fillId="2" borderId="4" xfId="6" applyNumberFormat="1" applyFont="1" applyFill="1" applyBorder="1" applyAlignment="1">
      <alignment horizontal="right" vertical="center"/>
    </xf>
    <xf numFmtId="0" fontId="13" fillId="2" borderId="0" xfId="3" applyFont="1" applyFill="1" applyBorder="1"/>
    <xf numFmtId="0" fontId="2" fillId="2" borderId="0" xfId="0" applyFont="1" applyFill="1" applyBorder="1"/>
    <xf numFmtId="165" fontId="1" fillId="2" borderId="0" xfId="5" applyNumberFormat="1" applyFont="1" applyFill="1" applyBorder="1" applyAlignment="1">
      <alignment horizontal="right" vertical="center"/>
    </xf>
    <xf numFmtId="164" fontId="1" fillId="2" borderId="0" xfId="6" applyNumberFormat="1" applyFont="1" applyFill="1" applyBorder="1" applyAlignment="1">
      <alignment horizontal="right" vertical="center"/>
    </xf>
    <xf numFmtId="164" fontId="0" fillId="2" borderId="0" xfId="0" applyNumberFormat="1" applyFont="1" applyFill="1" applyBorder="1" applyAlignment="1">
      <alignment horizontal="right" vertical="center"/>
    </xf>
    <xf numFmtId="0" fontId="2" fillId="2" borderId="3" xfId="0" applyFont="1" applyFill="1" applyBorder="1"/>
    <xf numFmtId="165" fontId="1" fillId="2" borderId="5" xfId="5" applyNumberFormat="1" applyFont="1" applyFill="1" applyBorder="1" applyAlignment="1">
      <alignment horizontal="right" vertical="center"/>
    </xf>
    <xf numFmtId="164" fontId="1" fillId="2" borderId="26" xfId="6" applyNumberFormat="1" applyFont="1" applyFill="1" applyBorder="1" applyAlignment="1">
      <alignment horizontal="right" vertical="center"/>
    </xf>
    <xf numFmtId="165" fontId="2" fillId="2" borderId="27" xfId="5" applyNumberFormat="1" applyFont="1" applyFill="1" applyBorder="1" applyAlignment="1">
      <alignment horizontal="right" vertical="center"/>
    </xf>
    <xf numFmtId="164" fontId="0" fillId="2" borderId="8" xfId="6" applyNumberFormat="1" applyFont="1" applyFill="1" applyBorder="1" applyAlignment="1">
      <alignment horizontal="right" vertical="center"/>
    </xf>
    <xf numFmtId="164" fontId="0" fillId="2" borderId="19" xfId="0" applyNumberFormat="1" applyFill="1" applyBorder="1" applyAlignment="1">
      <alignment horizontal="right" vertical="center"/>
    </xf>
    <xf numFmtId="164" fontId="0" fillId="2" borderId="25" xfId="0" applyNumberFormat="1" applyFont="1" applyFill="1" applyBorder="1" applyAlignment="1">
      <alignment horizontal="right" vertical="center"/>
    </xf>
    <xf numFmtId="164" fontId="0" fillId="2" borderId="28" xfId="0" applyNumberFormat="1" applyFill="1" applyBorder="1" applyAlignment="1">
      <alignment horizontal="right" vertical="center"/>
    </xf>
    <xf numFmtId="164" fontId="0" fillId="2" borderId="20" xfId="6" applyNumberFormat="1" applyFont="1" applyFill="1" applyBorder="1" applyAlignment="1">
      <alignment horizontal="right" vertical="center"/>
    </xf>
    <xf numFmtId="164" fontId="0" fillId="2" borderId="28" xfId="6" applyNumberFormat="1" applyFont="1" applyFill="1" applyBorder="1" applyAlignment="1">
      <alignment horizontal="right" vertical="center"/>
    </xf>
    <xf numFmtId="0" fontId="12" fillId="2" borderId="0" xfId="10" applyFill="1"/>
    <xf numFmtId="0" fontId="7" fillId="2" borderId="0" xfId="0" applyFont="1" applyFill="1"/>
    <xf numFmtId="165" fontId="2" fillId="2" borderId="6" xfId="5" applyNumberFormat="1" applyFont="1" applyFill="1" applyBorder="1" applyAlignment="1"/>
    <xf numFmtId="165" fontId="0" fillId="2" borderId="4" xfId="5" applyNumberFormat="1" applyFont="1" applyFill="1" applyBorder="1" applyAlignment="1"/>
    <xf numFmtId="164" fontId="0" fillId="2" borderId="16" xfId="6" applyNumberFormat="1" applyFont="1" applyFill="1" applyBorder="1" applyAlignment="1"/>
    <xf numFmtId="164" fontId="0" fillId="2" borderId="19" xfId="0" applyNumberFormat="1" applyFill="1" applyBorder="1" applyAlignment="1"/>
    <xf numFmtId="165" fontId="0" fillId="2" borderId="6" xfId="5" applyNumberFormat="1" applyFont="1" applyFill="1" applyBorder="1" applyAlignment="1"/>
    <xf numFmtId="165" fontId="2" fillId="2" borderId="9" xfId="5" applyNumberFormat="1" applyFont="1" applyFill="1" applyBorder="1" applyAlignment="1"/>
    <xf numFmtId="165" fontId="1" fillId="2" borderId="9" xfId="5" applyNumberFormat="1" applyFont="1" applyFill="1" applyBorder="1" applyAlignment="1"/>
    <xf numFmtId="164" fontId="0" fillId="2" borderId="28" xfId="0" applyNumberFormat="1" applyFill="1" applyBorder="1" applyAlignment="1">
      <alignment horizontal="right"/>
    </xf>
    <xf numFmtId="165" fontId="2" fillId="2" borderId="6" xfId="5" applyNumberFormat="1" applyFont="1" applyFill="1" applyBorder="1" applyAlignment="1">
      <alignment horizontal="right"/>
    </xf>
    <xf numFmtId="0" fontId="0" fillId="5" borderId="2" xfId="0" applyFill="1" applyBorder="1"/>
    <xf numFmtId="165" fontId="2" fillId="5" borderId="6" xfId="5" applyNumberFormat="1" applyFont="1" applyFill="1" applyBorder="1" applyAlignment="1">
      <alignment horizontal="right" vertical="center"/>
    </xf>
    <xf numFmtId="165" fontId="0" fillId="5" borderId="4" xfId="5" applyNumberFormat="1" applyFont="1" applyFill="1" applyBorder="1" applyAlignment="1">
      <alignment horizontal="right" vertical="center"/>
    </xf>
    <xf numFmtId="164" fontId="0" fillId="5" borderId="16" xfId="6" applyNumberFormat="1" applyFont="1" applyFill="1" applyBorder="1" applyAlignment="1">
      <alignment horizontal="right" vertical="center"/>
    </xf>
    <xf numFmtId="164" fontId="0" fillId="5" borderId="19" xfId="0" applyNumberFormat="1" applyFill="1" applyBorder="1" applyAlignment="1">
      <alignment horizontal="right" vertical="center"/>
    </xf>
    <xf numFmtId="164" fontId="1" fillId="2" borderId="21" xfId="6" applyNumberFormat="1" applyFont="1" applyFill="1" applyBorder="1" applyAlignment="1">
      <alignment horizontal="right" vertical="center"/>
    </xf>
    <xf numFmtId="164" fontId="1" fillId="2" borderId="20" xfId="6" applyNumberFormat="1" applyFont="1" applyFill="1" applyBorder="1" applyAlignment="1">
      <alignment horizontal="right" vertical="center"/>
    </xf>
    <xf numFmtId="0" fontId="12" fillId="0" borderId="0" xfId="10"/>
    <xf numFmtId="0" fontId="3" fillId="2" borderId="0" xfId="0" applyFont="1" applyFill="1"/>
    <xf numFmtId="0" fontId="5" fillId="2" borderId="0" xfId="0" applyFont="1" applyFill="1"/>
    <xf numFmtId="0" fontId="3" fillId="0" borderId="0" xfId="0" applyFont="1" applyBorder="1" applyAlignment="1">
      <alignment horizontal="left" vertical="top" wrapText="1"/>
    </xf>
    <xf numFmtId="0" fontId="9" fillId="4" borderId="23" xfId="0" applyFont="1" applyFill="1" applyBorder="1" applyAlignment="1">
      <alignment horizontal="left" vertical="center"/>
    </xf>
    <xf numFmtId="164" fontId="0" fillId="2" borderId="16" xfId="0" applyNumberFormat="1" applyFill="1" applyBorder="1" applyAlignment="1"/>
    <xf numFmtId="164" fontId="0" fillId="2" borderId="17" xfId="0" applyNumberFormat="1" applyFill="1" applyBorder="1" applyAlignment="1">
      <alignment horizontal="right"/>
    </xf>
    <xf numFmtId="164" fontId="0" fillId="2" borderId="29" xfId="6" applyNumberFormat="1" applyFont="1" applyFill="1" applyBorder="1" applyAlignment="1">
      <alignment horizontal="right" vertical="center"/>
    </xf>
    <xf numFmtId="0" fontId="0" fillId="3" borderId="11" xfId="0" applyNumberFormat="1" applyFill="1" applyBorder="1" applyAlignment="1">
      <alignment horizontal="right" vertical="center" wrapText="1"/>
    </xf>
    <xf numFmtId="165" fontId="2" fillId="2" borderId="30" xfId="5" applyNumberFormat="1" applyFont="1" applyFill="1" applyBorder="1" applyAlignment="1"/>
    <xf numFmtId="165" fontId="2" fillId="2" borderId="30" xfId="5" applyNumberFormat="1" applyFont="1" applyFill="1" applyBorder="1" applyAlignment="1">
      <alignment horizontal="right"/>
    </xf>
    <xf numFmtId="165" fontId="2" fillId="2" borderId="31" xfId="5" applyNumberFormat="1" applyFont="1" applyFill="1" applyBorder="1" applyAlignment="1"/>
    <xf numFmtId="165" fontId="2" fillId="2" borderId="32" xfId="5" applyNumberFormat="1" applyFont="1" applyFill="1" applyBorder="1" applyAlignment="1">
      <alignment horizontal="right" vertical="center"/>
    </xf>
    <xf numFmtId="164" fontId="0" fillId="2" borderId="16" xfId="0" applyNumberFormat="1" applyFill="1" applyBorder="1" applyAlignment="1">
      <alignment horizontal="right" vertical="center"/>
    </xf>
    <xf numFmtId="164" fontId="0" fillId="2" borderId="17" xfId="0" applyNumberFormat="1" applyFill="1" applyBorder="1" applyAlignment="1">
      <alignment horizontal="right" vertical="center"/>
    </xf>
    <xf numFmtId="164" fontId="1" fillId="2" borderId="29" xfId="6" applyNumberFormat="1" applyFont="1" applyFill="1" applyBorder="1" applyAlignment="1">
      <alignment horizontal="right" vertical="center"/>
    </xf>
    <xf numFmtId="165" fontId="2" fillId="2" borderId="30" xfId="5" applyNumberFormat="1" applyFont="1" applyFill="1" applyBorder="1" applyAlignment="1">
      <alignment horizontal="right" vertical="center"/>
    </xf>
    <xf numFmtId="165" fontId="2" fillId="2" borderId="31" xfId="5" applyNumberFormat="1" applyFont="1" applyFill="1" applyBorder="1" applyAlignment="1">
      <alignment horizontal="right" vertical="center"/>
    </xf>
    <xf numFmtId="164" fontId="0" fillId="5" borderId="16" xfId="0" applyNumberFormat="1" applyFill="1" applyBorder="1" applyAlignment="1">
      <alignment horizontal="right" vertical="center"/>
    </xf>
    <xf numFmtId="164" fontId="0" fillId="2" borderId="26" xfId="0" applyNumberFormat="1" applyFont="1" applyFill="1" applyBorder="1" applyAlignment="1">
      <alignment horizontal="right" vertical="center"/>
    </xf>
    <xf numFmtId="165" fontId="2" fillId="5" borderId="30" xfId="5" applyNumberFormat="1" applyFont="1" applyFill="1" applyBorder="1" applyAlignment="1">
      <alignment horizontal="right" vertical="center"/>
    </xf>
    <xf numFmtId="0" fontId="3" fillId="9" borderId="0" xfId="0" applyFont="1" applyFill="1" applyBorder="1" applyAlignment="1">
      <alignment horizontal="left" vertical="top" wrapText="1"/>
    </xf>
    <xf numFmtId="0" fontId="13" fillId="7" borderId="0" xfId="0" applyFont="1" applyFill="1" applyBorder="1" applyAlignment="1">
      <alignment horizontal="left" vertical="top" wrapText="1"/>
    </xf>
    <xf numFmtId="0" fontId="3" fillId="7" borderId="0" xfId="0" applyFont="1" applyFill="1" applyBorder="1" applyAlignment="1">
      <alignment horizontal="left" vertical="top" wrapText="1"/>
    </xf>
    <xf numFmtId="0" fontId="13" fillId="6" borderId="0" xfId="0" applyFont="1" applyFill="1" applyBorder="1" applyAlignment="1">
      <alignment horizontal="left" vertical="top" wrapText="1"/>
    </xf>
    <xf numFmtId="0" fontId="3" fillId="7" borderId="0" xfId="0" applyFont="1" applyFill="1" applyBorder="1" applyAlignment="1" applyProtection="1">
      <alignment horizontal="left" vertical="top" wrapText="1"/>
      <protection locked="0"/>
    </xf>
    <xf numFmtId="0" fontId="3" fillId="8" borderId="0" xfId="0" applyFont="1" applyFill="1" applyBorder="1" applyAlignment="1">
      <alignment horizontal="left" vertical="center" wrapText="1"/>
    </xf>
    <xf numFmtId="0" fontId="3" fillId="9" borderId="0" xfId="0" applyFont="1" applyFill="1" applyBorder="1" applyAlignment="1">
      <alignment wrapText="1"/>
    </xf>
    <xf numFmtId="0" fontId="5" fillId="2" borderId="0" xfId="1" applyFont="1" applyFill="1" applyBorder="1" applyAlignment="1">
      <alignment horizontal="left" vertical="top" wrapText="1"/>
    </xf>
    <xf numFmtId="0" fontId="0" fillId="2" borderId="0" xfId="0" applyFill="1" applyBorder="1"/>
    <xf numFmtId="0" fontId="0" fillId="2" borderId="0" xfId="0" applyNumberFormat="1" applyFill="1" applyBorder="1" applyAlignment="1">
      <alignment horizontal="right" vertical="center" wrapText="1"/>
    </xf>
    <xf numFmtId="165" fontId="0" fillId="2" borderId="0" xfId="5" applyNumberFormat="1" applyFont="1" applyFill="1" applyBorder="1" applyAlignment="1">
      <alignment horizontal="right" vertical="center"/>
    </xf>
    <xf numFmtId="164" fontId="0" fillId="2" borderId="0" xfId="6" applyNumberFormat="1" applyFont="1" applyFill="1" applyBorder="1" applyAlignment="1">
      <alignment horizontal="right" vertical="center"/>
    </xf>
    <xf numFmtId="164" fontId="0" fillId="2" borderId="0" xfId="0" applyNumberFormat="1" applyFill="1" applyBorder="1" applyAlignment="1">
      <alignment horizontal="right" vertical="center"/>
    </xf>
    <xf numFmtId="165" fontId="2" fillId="2" borderId="0" xfId="5" applyNumberFormat="1" applyFont="1" applyFill="1" applyBorder="1" applyAlignment="1"/>
    <xf numFmtId="165" fontId="0" fillId="2" borderId="0" xfId="5" applyNumberFormat="1" applyFont="1" applyFill="1" applyBorder="1" applyAlignment="1"/>
    <xf numFmtId="164" fontId="0" fillId="2" borderId="0" xfId="6" applyNumberFormat="1" applyFont="1" applyFill="1" applyBorder="1" applyAlignment="1"/>
    <xf numFmtId="164" fontId="0" fillId="2" borderId="0" xfId="0" applyNumberFormat="1" applyFill="1" applyBorder="1" applyAlignment="1"/>
    <xf numFmtId="165" fontId="2" fillId="2" borderId="0" xfId="5" applyNumberFormat="1" applyFont="1" applyFill="1" applyBorder="1" applyAlignment="1">
      <alignment horizontal="right"/>
    </xf>
    <xf numFmtId="165" fontId="1" fillId="2" borderId="0" xfId="5" applyNumberFormat="1" applyFont="1" applyFill="1" applyBorder="1" applyAlignment="1"/>
    <xf numFmtId="164" fontId="0" fillId="2" borderId="0" xfId="0" applyNumberFormat="1" applyFill="1" applyBorder="1" applyAlignment="1">
      <alignment horizontal="right"/>
    </xf>
    <xf numFmtId="0" fontId="3" fillId="7" borderId="34" xfId="0" applyFont="1" applyFill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5" borderId="1" xfId="0" applyFill="1" applyBorder="1"/>
    <xf numFmtId="0" fontId="13" fillId="10" borderId="0" xfId="0" applyFont="1" applyFill="1" applyBorder="1" applyAlignment="1">
      <alignment horizontal="left" vertical="top" wrapText="1"/>
    </xf>
    <xf numFmtId="0" fontId="13" fillId="10" borderId="0" xfId="0" applyFont="1" applyFill="1" applyBorder="1" applyAlignment="1" applyProtection="1">
      <alignment horizontal="left" vertical="top" wrapText="1"/>
      <protection locked="0"/>
    </xf>
    <xf numFmtId="0" fontId="3" fillId="10" borderId="0" xfId="0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horizontal="right" vertical="top" wrapText="1"/>
    </xf>
    <xf numFmtId="0" fontId="16" fillId="10" borderId="33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11" borderId="0" xfId="0" applyFont="1" applyFill="1" applyBorder="1" applyAlignment="1">
      <alignment horizontal="left" vertical="top" wrapText="1"/>
    </xf>
    <xf numFmtId="0" fontId="17" fillId="11" borderId="0" xfId="0" applyFont="1" applyFill="1" applyBorder="1" applyAlignment="1">
      <alignment horizontal="left" vertical="top" wrapText="1"/>
    </xf>
    <xf numFmtId="0" fontId="9" fillId="8" borderId="0" xfId="0" applyFont="1" applyFill="1" applyAlignment="1">
      <alignment horizontal="left" vertical="center"/>
    </xf>
    <xf numFmtId="0" fontId="18" fillId="8" borderId="0" xfId="0" applyFont="1" applyFill="1" applyAlignment="1">
      <alignment horizontal="left" vertical="top"/>
    </xf>
    <xf numFmtId="165" fontId="18" fillId="8" borderId="0" xfId="5" applyNumberFormat="1" applyFont="1" applyFill="1" applyBorder="1" applyAlignment="1" applyProtection="1">
      <alignment horizontal="left" vertical="top"/>
    </xf>
    <xf numFmtId="0" fontId="1" fillId="2" borderId="0" xfId="0" applyFont="1" applyFill="1"/>
    <xf numFmtId="0" fontId="5" fillId="2" borderId="0" xfId="1" applyFont="1" applyFill="1" applyBorder="1" applyAlignment="1">
      <alignment horizontal="left" vertical="top" wrapText="1"/>
    </xf>
  </cellXfs>
  <cellStyles count="13">
    <cellStyle name="Komma" xfId="5" builtinId="3"/>
    <cellStyle name="Komma 2" xfId="12"/>
    <cellStyle name="Link" xfId="10" builtinId="8"/>
    <cellStyle name="Prozent" xfId="6" builtinId="5"/>
    <cellStyle name="Prozent 2" xfId="7"/>
    <cellStyle name="Standard" xfId="0" builtinId="0"/>
    <cellStyle name="Standard 2" xfId="2"/>
    <cellStyle name="Standard 2 2" xfId="4"/>
    <cellStyle name="Standard 2 3" xfId="8"/>
    <cellStyle name="Standard 3" xfId="1"/>
    <cellStyle name="Standard 3 2" xfId="9"/>
    <cellStyle name="Standard 4" xfId="3"/>
    <cellStyle name="Standard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0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1" name="Option Button 1" hidden="1">
                <a:extLst>
                  <a:ext uri="{63B3BB69-23CF-44E3-9099-C40C66FF867C}">
                    <a14:compatExt spid="_x0000_s15361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2" name="Option Button 2" hidden="1">
                <a:extLst>
                  <a:ext uri="{63B3BB69-23CF-44E3-9099-C40C66FF867C}">
                    <a14:compatExt spid="_x0000_s15362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3" name="Option Button 3" hidden="1">
                <a:extLst>
                  <a:ext uri="{63B3BB69-23CF-44E3-9099-C40C66FF867C}">
                    <a14:compatExt spid="_x0000_s15363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5" name="Option Button 1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6" name="Option Button 2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7" name="Option Button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7" name="Option Button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8" name="Option Button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9" name="Option Button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34925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466725</xdr:colOff>
      <xdr:row>0</xdr:row>
      <xdr:rowOff>19050</xdr:rowOff>
    </xdr:from>
    <xdr:to>
      <xdr:col>8</xdr:col>
      <xdr:colOff>410189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00675" y="19050"/>
          <a:ext cx="244853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3" name="Option Button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4" name="Option Button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5" name="Option Button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7" name="Option Button 1" hidden="1">
                <a:extLst>
                  <a:ext uri="{63B3BB69-23CF-44E3-9099-C40C66FF867C}">
                    <a14:compatExt spid="_x0000_s14337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8" name="Option Button 2" hidden="1">
                <a:extLst>
                  <a:ext uri="{63B3BB69-23CF-44E3-9099-C40C66FF867C}">
                    <a14:compatExt spid="_x0000_s14338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9" name="Option Button 3" hidden="1">
                <a:extLst>
                  <a:ext uri="{63B3BB69-23CF-44E3-9099-C40C66FF867C}">
                    <a14:compatExt spid="_x0000_s14339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3" name="Option Button 1" hidden="1">
                <a:extLst>
                  <a:ext uri="{63B3BB69-23CF-44E3-9099-C40C66FF867C}">
                    <a14:compatExt spid="_x0000_s13313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4" name="Option Button 2" hidden="1">
                <a:extLst>
                  <a:ext uri="{63B3BB69-23CF-44E3-9099-C40C66FF867C}">
                    <a14:compatExt spid="_x0000_s13314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5" name="Option Button 3" hidden="1">
                <a:extLst>
                  <a:ext uri="{63B3BB69-23CF-44E3-9099-C40C66FF867C}">
                    <a14:compatExt spid="_x0000_s13315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89" name="Option Button 1" hidden="1">
                <a:extLst>
                  <a:ext uri="{63B3BB69-23CF-44E3-9099-C40C66FF867C}">
                    <a14:compatExt spid="_x0000_s12289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0" name="Option Button 2" hidden="1">
                <a:extLst>
                  <a:ext uri="{63B3BB69-23CF-44E3-9099-C40C66FF867C}">
                    <a14:compatExt spid="_x0000_s12290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1" name="Option Button 3" hidden="1">
                <a:extLst>
                  <a:ext uri="{63B3BB69-23CF-44E3-9099-C40C66FF867C}">
                    <a14:compatExt spid="_x0000_s12291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5" name="Option Button 1" hidden="1">
                <a:extLst>
                  <a:ext uri="{63B3BB69-23CF-44E3-9099-C40C66FF867C}">
                    <a14:compatExt spid="_x0000_s1126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6" name="Option Button 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7" name="Option Button 3" hidden="1">
                <a:extLst>
                  <a:ext uri="{63B3BB69-23CF-44E3-9099-C40C66FF867C}">
                    <a14:compatExt spid="_x0000_s1126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1" name="Option Button 1" hidden="1">
                <a:extLst>
                  <a:ext uri="{63B3BB69-23CF-44E3-9099-C40C66FF867C}">
                    <a14:compatExt spid="_x0000_s10241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2" name="Option Button 2" hidden="1">
                <a:extLst>
                  <a:ext uri="{63B3BB69-23CF-44E3-9099-C40C66FF867C}">
                    <a14:compatExt spid="_x0000_s10242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3" name="Option Button 3" hidden="1">
                <a:extLst>
                  <a:ext uri="{63B3BB69-23CF-44E3-9099-C40C66FF867C}">
                    <a14:compatExt spid="_x0000_s10243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7" name="Option Button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8" name="Option Button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9" name="Option Button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3" name="Option Button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4" name="Option Button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5" name="Option Button 3" hidden="1">
                <a:extLst>
                  <a:ext uri="{63B3BB69-23CF-44E3-9099-C40C66FF867C}">
                    <a14:compatExt spid="_x0000_s8195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0</xdr:col>
      <xdr:colOff>781049</xdr:colOff>
      <xdr:row>4</xdr:row>
      <xdr:rowOff>123825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85725"/>
          <a:ext cx="7334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873125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0</xdr:row>
      <xdr:rowOff>19050</xdr:rowOff>
    </xdr:from>
    <xdr:to>
      <xdr:col>8</xdr:col>
      <xdr:colOff>276839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43877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Option Button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Option Button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1" name="Option Button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7" Type="http://schemas.openxmlformats.org/officeDocument/2006/relationships/ctrlProp" Target="../ctrlProps/ctrlProp3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9.xml"/><Relationship Id="rId5" Type="http://schemas.openxmlformats.org/officeDocument/2006/relationships/ctrlProp" Target="../ctrlProps/ctrlProp28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7" Type="http://schemas.openxmlformats.org/officeDocument/2006/relationships/ctrlProp" Target="../ctrlProps/ctrlProp3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32.xml"/><Relationship Id="rId5" Type="http://schemas.openxmlformats.org/officeDocument/2006/relationships/ctrlProp" Target="../ctrlProps/ctrlProp3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7" Type="http://schemas.openxmlformats.org/officeDocument/2006/relationships/ctrlProp" Target="../ctrlProps/ctrlProp36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1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7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7" Type="http://schemas.openxmlformats.org/officeDocument/2006/relationships/ctrlProp" Target="../ctrlProps/ctrlProp24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7" Type="http://schemas.openxmlformats.org/officeDocument/2006/relationships/ctrlProp" Target="../ctrlProps/ctrlProp2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gr.ch/DE/institutionen/verwaltung/dvs/awt/statistik/Grundlagen_und_Uebersichten/Seiten/Gliederungen.aspx" TargetMode="External"/><Relationship Id="rId6" Type="http://schemas.openxmlformats.org/officeDocument/2006/relationships/ctrlProp" Target="../ctrlProps/ctrlProp26.xml"/><Relationship Id="rId5" Type="http://schemas.openxmlformats.org/officeDocument/2006/relationships/ctrlProp" Target="../ctrlProps/ctrlProp25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3"/>
  <dimension ref="A1:J90"/>
  <sheetViews>
    <sheetView tabSelected="1"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24" t="str">
        <f>VLOOKUP("&lt;Fachbereich&gt;",Uebersetzungen!$B$4:$E$304,Uebersetzungen!$B$2+1,FALSE)</f>
        <v>Daten &amp; Statistik</v>
      </c>
      <c r="B7" s="124"/>
      <c r="C7" s="124"/>
      <c r="D7" s="124"/>
      <c r="E7" s="95"/>
      <c r="F7" s="1"/>
    </row>
    <row r="8" spans="1:10" ht="10.5" customHeight="1" x14ac:dyDescent="0.2"/>
    <row r="9" spans="1:10" ht="18" x14ac:dyDescent="0.25">
      <c r="A9" s="2" t="str">
        <f>VLOOKUP("&lt;T12Titel1&gt;",Uebersetzungen!$B$4:$E$304,Uebersetzungen!$B$2+1,FALSE)</f>
        <v>Hotel- und Kurbetriebe: Logiernächte im Dezember 2024, nach Herkunft</v>
      </c>
      <c r="B9" s="3"/>
      <c r="C9" s="3"/>
      <c r="D9" s="3"/>
      <c r="E9" s="3"/>
      <c r="F9" s="3"/>
    </row>
    <row r="10" spans="1:10" s="123" customFormat="1" x14ac:dyDescent="0.2">
      <c r="A10" s="120" t="str">
        <f>VLOOKUP("&lt;Titelprov&gt;",Uebersetzungen!$B$4:$E$304,Uebersetzungen!$B$2+1,FALSE)</f>
        <v>definitive Ergebnisse</v>
      </c>
      <c r="B10" s="121"/>
      <c r="C10" s="122"/>
      <c r="D10" s="122"/>
      <c r="E10" s="122"/>
      <c r="F10" s="122"/>
      <c r="G10" s="122"/>
    </row>
    <row r="11" spans="1:10" ht="13.5" thickBot="1" x14ac:dyDescent="0.25"/>
    <row r="12" spans="1:10" ht="51" x14ac:dyDescent="0.2">
      <c r="A12" s="8"/>
      <c r="B12" s="9"/>
      <c r="C12" s="20" t="str">
        <f>VLOOKUP("&lt;T12SpaltenTitel_1&gt;",Uebersetzungen!$B$4:$E$304,Uebersetzungen!$B$2+1,FALSE)</f>
        <v>Dezember 2024</v>
      </c>
      <c r="D12" s="21" t="str">
        <f>VLOOKUP("&lt;T12SpaltenTitel_2&gt;",Uebersetzungen!$B$4:$E$304,Uebersetzungen!$B$2+1,FALSE)</f>
        <v>Dezember 2023</v>
      </c>
      <c r="E12" s="22" t="str">
        <f>VLOOKUP("&lt;SpaltenTitel_3&gt;",Uebersetzungen!$B$4:$E$304,Uebersetzungen!$B$2+1,FALSE)</f>
        <v>Veränderung 24/23 in %</v>
      </c>
      <c r="F12" s="22" t="str">
        <f>VLOOKUP("&lt;SpaltenTitel_4&gt;",Uebersetzungen!$B$4:$E$304,Uebersetzungen!$B$2+1,FALSE)</f>
        <v>Veränderung zum
5-Jahresmittel 
in %</v>
      </c>
      <c r="G12" s="75" t="str">
        <f>VLOOKUP("&lt;T12SpaltenTitel_5&gt;",Uebersetzungen!$B$4:$E$304,Uebersetzungen!$B$2+1,FALSE)</f>
        <v>Januar-Dezember 24</v>
      </c>
      <c r="H12" s="22" t="str">
        <f>VLOOKUP("&lt;T12SpaltenTitel_6&gt;",Uebersetzungen!$B$4:$E$304,Uebersetzungen!$B$2+1,FALSE)</f>
        <v>Januar-Dezember 23</v>
      </c>
      <c r="I12" s="22" t="str">
        <f>VLOOKUP("&lt;SpaltenTitel_7&gt;",Uebersetzungen!$B$4:$E$304,Uebersetzungen!$B$2+1,FALSE)</f>
        <v>Veränderung 24/23 in %</v>
      </c>
      <c r="J12" s="23" t="str">
        <f>VLOOKUP("&lt;SpaltenTitel_8&gt;",Uebersetzungen!$B$4:$E$304,Uebersetzungen!$B$2+1,FALSE)</f>
        <v>Veränderung zum
5-Jahresmittel 
in %</v>
      </c>
    </row>
    <row r="13" spans="1:10" x14ac:dyDescent="0.2">
      <c r="A13" s="24" t="str">
        <f>VLOOKUP("&lt;Zeilentitel_1&gt;",Uebersetzungen!$B$4:$E$78,Uebersetzungen!$B$2+1,FALSE)</f>
        <v>Schweiz</v>
      </c>
      <c r="B13" s="5"/>
      <c r="C13" s="51">
        <v>338607</v>
      </c>
      <c r="D13" s="52">
        <v>317829</v>
      </c>
      <c r="E13" s="53">
        <f t="shared" ref="E13:E36" si="0">C13/D13-1</f>
        <v>6.537477700272798E-2</v>
      </c>
      <c r="F13" s="72">
        <v>5.673481310598727E-2</v>
      </c>
      <c r="G13" s="76">
        <v>3514909</v>
      </c>
      <c r="H13" s="52">
        <v>3508516</v>
      </c>
      <c r="I13" s="53">
        <f t="shared" ref="I13:I36" si="1">G13/H13-1</f>
        <v>1.8221379067389076E-3</v>
      </c>
      <c r="J13" s="54">
        <v>-2.8691671010263819E-2</v>
      </c>
    </row>
    <row r="14" spans="1:10" x14ac:dyDescent="0.2">
      <c r="A14" s="24" t="str">
        <f>VLOOKUP("&lt;Zeilentitel_2&gt;",Uebersetzungen!$B$4:$E$78,Uebersetzungen!$B$2+1,FALSE)</f>
        <v>Deutschland</v>
      </c>
      <c r="B14" s="5"/>
      <c r="C14" s="51">
        <v>87806</v>
      </c>
      <c r="D14" s="52">
        <v>82357</v>
      </c>
      <c r="E14" s="53">
        <f t="shared" si="0"/>
        <v>6.616316767245034E-2</v>
      </c>
      <c r="F14" s="72">
        <v>0.1935287433191426</v>
      </c>
      <c r="G14" s="76">
        <v>770934</v>
      </c>
      <c r="H14" s="52">
        <v>744436</v>
      </c>
      <c r="I14" s="53">
        <f t="shared" si="1"/>
        <v>3.5594732119349493E-2</v>
      </c>
      <c r="J14" s="54">
        <v>0.12917787641313128</v>
      </c>
    </row>
    <row r="15" spans="1:10" x14ac:dyDescent="0.2">
      <c r="A15" s="24" t="str">
        <f>VLOOKUP("&lt;Zeilentitel_3&gt;",Uebersetzungen!$B$4:$E$78,Uebersetzungen!$B$2+1,FALSE)</f>
        <v>Italien</v>
      </c>
      <c r="B15" s="5"/>
      <c r="C15" s="51">
        <v>13712</v>
      </c>
      <c r="D15" s="52">
        <v>16993</v>
      </c>
      <c r="E15" s="53">
        <f t="shared" si="0"/>
        <v>-0.19307950332489854</v>
      </c>
      <c r="F15" s="72">
        <v>8.8858889859445789E-2</v>
      </c>
      <c r="G15" s="76">
        <v>103583</v>
      </c>
      <c r="H15" s="52">
        <v>100999</v>
      </c>
      <c r="I15" s="53">
        <f t="shared" si="1"/>
        <v>2.5584411726848888E-2</v>
      </c>
      <c r="J15" s="54">
        <v>0.22828798831274755</v>
      </c>
    </row>
    <row r="16" spans="1:10" x14ac:dyDescent="0.2">
      <c r="A16" s="24" t="str">
        <f>VLOOKUP("&lt;Zeilentitel_4&gt;",Uebersetzungen!$B$4:$E$78,Uebersetzungen!$B$2+1,FALSE)</f>
        <v>Frankreich</v>
      </c>
      <c r="B16" s="5"/>
      <c r="C16" s="51">
        <v>5244</v>
      </c>
      <c r="D16" s="52">
        <v>5229</v>
      </c>
      <c r="E16" s="53">
        <f t="shared" si="0"/>
        <v>2.8686173264487191E-3</v>
      </c>
      <c r="F16" s="72">
        <v>2.0637468470534603E-3</v>
      </c>
      <c r="G16" s="76">
        <v>62520</v>
      </c>
      <c r="H16" s="52">
        <v>54454</v>
      </c>
      <c r="I16" s="53">
        <f t="shared" si="1"/>
        <v>0.14812502295515473</v>
      </c>
      <c r="J16" s="54">
        <v>0.25447453328410674</v>
      </c>
    </row>
    <row r="17" spans="1:10" x14ac:dyDescent="0.2">
      <c r="A17" s="24" t="str">
        <f>VLOOKUP("&lt;Zeilentitel_5&gt;",Uebersetzungen!$B$4:$E$78,Uebersetzungen!$B$2+1,FALSE)</f>
        <v>Österreich</v>
      </c>
      <c r="B17" s="5"/>
      <c r="C17" s="51">
        <v>3787</v>
      </c>
      <c r="D17" s="52">
        <v>3329</v>
      </c>
      <c r="E17" s="53">
        <f t="shared" si="0"/>
        <v>0.13757885250826063</v>
      </c>
      <c r="F17" s="72">
        <v>0.18677530554685062</v>
      </c>
      <c r="G17" s="76">
        <v>50227</v>
      </c>
      <c r="H17" s="52">
        <v>45704</v>
      </c>
      <c r="I17" s="53">
        <f t="shared" si="1"/>
        <v>9.8962891650621332E-2</v>
      </c>
      <c r="J17" s="54">
        <v>0.22604756069578635</v>
      </c>
    </row>
    <row r="18" spans="1:10" x14ac:dyDescent="0.2">
      <c r="A18" s="24" t="str">
        <f>VLOOKUP("&lt;Zeilentitel_6&gt;",Uebersetzungen!$B$4:$E$78,Uebersetzungen!$B$2+1,FALSE)</f>
        <v>Niederlande</v>
      </c>
      <c r="B18" s="5"/>
      <c r="C18" s="51">
        <v>10791</v>
      </c>
      <c r="D18" s="52">
        <v>8147</v>
      </c>
      <c r="E18" s="53">
        <f t="shared" si="0"/>
        <v>0.32453663925371301</v>
      </c>
      <c r="F18" s="72">
        <v>0.48114088064126492</v>
      </c>
      <c r="G18" s="76">
        <v>105303</v>
      </c>
      <c r="H18" s="52">
        <v>99870</v>
      </c>
      <c r="I18" s="53">
        <f t="shared" si="1"/>
        <v>5.4400720937218372E-2</v>
      </c>
      <c r="J18" s="54">
        <v>0.26573712362521773</v>
      </c>
    </row>
    <row r="19" spans="1:10" x14ac:dyDescent="0.2">
      <c r="A19" s="24" t="str">
        <f>VLOOKUP("&lt;Zeilentitel_7&gt;",Uebersetzungen!$B$4:$E$78,Uebersetzungen!$B$2+1,FALSE)</f>
        <v>Belgien</v>
      </c>
      <c r="B19" s="5"/>
      <c r="C19" s="51">
        <v>5438</v>
      </c>
      <c r="D19" s="52">
        <v>3862</v>
      </c>
      <c r="E19" s="53">
        <f t="shared" si="0"/>
        <v>0.40807871569135168</v>
      </c>
      <c r="F19" s="72">
        <v>0.25687606896870507</v>
      </c>
      <c r="G19" s="76">
        <v>103040</v>
      </c>
      <c r="H19" s="52">
        <v>135484</v>
      </c>
      <c r="I19" s="53">
        <f t="shared" si="1"/>
        <v>-0.23946739098343717</v>
      </c>
      <c r="J19" s="54">
        <v>-0.1176903764543894</v>
      </c>
    </row>
    <row r="20" spans="1:10" x14ac:dyDescent="0.2">
      <c r="A20" s="24" t="str">
        <f>VLOOKUP("&lt;Zeilentitel_8&gt;",Uebersetzungen!$B$4:$E$78,Uebersetzungen!$B$2+1,FALSE)</f>
        <v>Luxemburg</v>
      </c>
      <c r="B20" s="5"/>
      <c r="C20" s="51">
        <v>2149</v>
      </c>
      <c r="D20" s="52">
        <v>1899</v>
      </c>
      <c r="E20" s="53">
        <f t="shared" si="0"/>
        <v>0.13164823591363883</v>
      </c>
      <c r="F20" s="72">
        <v>0.33494844080009933</v>
      </c>
      <c r="G20" s="76">
        <v>15134</v>
      </c>
      <c r="H20" s="52">
        <v>14759</v>
      </c>
      <c r="I20" s="53">
        <f t="shared" si="1"/>
        <v>2.540822548953181E-2</v>
      </c>
      <c r="J20" s="54">
        <v>9.015732150060507E-2</v>
      </c>
    </row>
    <row r="21" spans="1:10" x14ac:dyDescent="0.2">
      <c r="A21" s="24" t="str">
        <f>VLOOKUP("&lt;Zeilentitel_9&gt;",Uebersetzungen!$B$4:$E$78,Uebersetzungen!$B$2+1,FALSE)</f>
        <v>Vereinigtes Königreich</v>
      </c>
      <c r="B21" s="5"/>
      <c r="C21" s="51">
        <v>17208</v>
      </c>
      <c r="D21" s="52">
        <v>15377</v>
      </c>
      <c r="E21" s="53">
        <f t="shared" si="0"/>
        <v>0.11907394160109264</v>
      </c>
      <c r="F21" s="72">
        <v>0.33567226042814791</v>
      </c>
      <c r="G21" s="76">
        <v>161369</v>
      </c>
      <c r="H21" s="52">
        <v>151673</v>
      </c>
      <c r="I21" s="53">
        <f t="shared" si="1"/>
        <v>6.3927000850513949E-2</v>
      </c>
      <c r="J21" s="54">
        <v>0.42178086271275728</v>
      </c>
    </row>
    <row r="22" spans="1:10" x14ac:dyDescent="0.2">
      <c r="A22" s="24" t="str">
        <f>VLOOKUP("&lt;Zeilentitel_10&gt;",Uebersetzungen!$B$4:$E$78,Uebersetzungen!$B$2+1,FALSE)</f>
        <v>Vereinigte Staaten</v>
      </c>
      <c r="B22" s="5"/>
      <c r="C22" s="51">
        <v>17089</v>
      </c>
      <c r="D22" s="52">
        <v>14761</v>
      </c>
      <c r="E22" s="53">
        <f t="shared" si="0"/>
        <v>0.15771289208048245</v>
      </c>
      <c r="F22" s="72">
        <v>0.68053260955078287</v>
      </c>
      <c r="G22" s="76">
        <v>151347</v>
      </c>
      <c r="H22" s="52">
        <v>131597</v>
      </c>
      <c r="I22" s="53">
        <f t="shared" si="1"/>
        <v>0.15007940910507078</v>
      </c>
      <c r="J22" s="54">
        <v>0.78198272025319104</v>
      </c>
    </row>
    <row r="23" spans="1:10" x14ac:dyDescent="0.2">
      <c r="A23" s="24" t="str">
        <f>VLOOKUP("&lt;Zeilentitel_11&gt;",Uebersetzungen!$B$4:$E$78,Uebersetzungen!$B$2+1,FALSE)</f>
        <v>Polen</v>
      </c>
      <c r="B23" s="5"/>
      <c r="C23" s="51">
        <v>2504</v>
      </c>
      <c r="D23" s="52">
        <v>3203</v>
      </c>
      <c r="E23" s="53">
        <f t="shared" si="0"/>
        <v>-0.2182329066500156</v>
      </c>
      <c r="F23" s="72">
        <v>-0.3472367049009385</v>
      </c>
      <c r="G23" s="76">
        <v>29784</v>
      </c>
      <c r="H23" s="52">
        <v>28394</v>
      </c>
      <c r="I23" s="53">
        <f t="shared" si="1"/>
        <v>4.8954004367119719E-2</v>
      </c>
      <c r="J23" s="54">
        <v>-0.27044345593854724</v>
      </c>
    </row>
    <row r="24" spans="1:10" x14ac:dyDescent="0.2">
      <c r="A24" s="24" t="str">
        <f>VLOOKUP("&lt;Zeilentitel_12&gt;",Uebersetzungen!$B$4:$E$78,Uebersetzungen!$B$2+1,FALSE)</f>
        <v>Tschechien</v>
      </c>
      <c r="B24" s="5"/>
      <c r="C24" s="51">
        <v>3690</v>
      </c>
      <c r="D24" s="52">
        <v>2638</v>
      </c>
      <c r="E24" s="53">
        <f t="shared" si="0"/>
        <v>0.39878695981804402</v>
      </c>
      <c r="F24" s="72">
        <v>0.39931740614334466</v>
      </c>
      <c r="G24" s="76">
        <v>23610</v>
      </c>
      <c r="H24" s="52">
        <v>22157</v>
      </c>
      <c r="I24" s="53">
        <f t="shared" si="1"/>
        <v>6.557746987408053E-2</v>
      </c>
      <c r="J24" s="54">
        <v>0.30008149600229062</v>
      </c>
    </row>
    <row r="25" spans="1:10" x14ac:dyDescent="0.2">
      <c r="A25" s="24" t="str">
        <f>VLOOKUP("&lt;Zeilentitel_13&gt;",Uebersetzungen!$B$4:$E$78,Uebersetzungen!$B$2+1,FALSE)</f>
        <v>Russland</v>
      </c>
      <c r="B25" s="5"/>
      <c r="C25" s="51">
        <v>1483</v>
      </c>
      <c r="D25" s="52">
        <v>1523</v>
      </c>
      <c r="E25" s="53">
        <f t="shared" si="0"/>
        <v>-2.6263952724885131E-2</v>
      </c>
      <c r="F25" s="72">
        <v>-0.45765067290813344</v>
      </c>
      <c r="G25" s="76">
        <v>8871</v>
      </c>
      <c r="H25" s="52">
        <v>9146</v>
      </c>
      <c r="I25" s="53">
        <f t="shared" si="1"/>
        <v>-3.0067789197463335E-2</v>
      </c>
      <c r="J25" s="54">
        <v>-0.53765088498342617</v>
      </c>
    </row>
    <row r="26" spans="1:10" x14ac:dyDescent="0.2">
      <c r="A26" s="24" t="str">
        <f>VLOOKUP("&lt;Zeilentitel_14&gt;",Uebersetzungen!$B$4:$E$78,Uebersetzungen!$B$2+1,FALSE)</f>
        <v>Schweden</v>
      </c>
      <c r="B26" s="5"/>
      <c r="C26" s="51">
        <v>1011</v>
      </c>
      <c r="D26" s="52">
        <v>1396</v>
      </c>
      <c r="E26" s="53">
        <f t="shared" si="0"/>
        <v>-0.27578796561604579</v>
      </c>
      <c r="F26" s="72">
        <v>-0.10783621602541482</v>
      </c>
      <c r="G26" s="76">
        <v>15588</v>
      </c>
      <c r="H26" s="52">
        <v>16753</v>
      </c>
      <c r="I26" s="53">
        <f t="shared" si="1"/>
        <v>-6.9539783919298048E-2</v>
      </c>
      <c r="J26" s="54">
        <v>0.10943460684393314</v>
      </c>
    </row>
    <row r="27" spans="1:10" x14ac:dyDescent="0.2">
      <c r="A27" s="24" t="str">
        <f>VLOOKUP("&lt;Zeilentitel_15&gt;",Uebersetzungen!$B$4:$E$78,Uebersetzungen!$B$2+1,FALSE)</f>
        <v>Norwegen</v>
      </c>
      <c r="B27" s="5"/>
      <c r="C27" s="51">
        <v>705</v>
      </c>
      <c r="D27" s="52">
        <v>285</v>
      </c>
      <c r="E27" s="53">
        <f t="shared" si="0"/>
        <v>1.4736842105263159</v>
      </c>
      <c r="F27" s="72">
        <v>0.89516129032258074</v>
      </c>
      <c r="G27" s="76">
        <v>7215</v>
      </c>
      <c r="H27" s="52">
        <v>7961</v>
      </c>
      <c r="I27" s="53">
        <f t="shared" si="1"/>
        <v>-9.3706820751161879E-2</v>
      </c>
      <c r="J27" s="54">
        <v>0.12935541433177877</v>
      </c>
    </row>
    <row r="28" spans="1:10" x14ac:dyDescent="0.2">
      <c r="A28" s="24" t="str">
        <f>VLOOKUP("&lt;Zeilentitel_16&gt;",Uebersetzungen!$B$4:$E$78,Uebersetzungen!$B$2+1,FALSE)</f>
        <v>Dänemark</v>
      </c>
      <c r="B28" s="5"/>
      <c r="C28" s="51">
        <v>743</v>
      </c>
      <c r="D28" s="52">
        <v>781</v>
      </c>
      <c r="E28" s="53">
        <f t="shared" si="0"/>
        <v>-4.8655569782330321E-2</v>
      </c>
      <c r="F28" s="72">
        <v>-9.5974406824846925E-3</v>
      </c>
      <c r="G28" s="76">
        <v>14958</v>
      </c>
      <c r="H28" s="52">
        <v>13164</v>
      </c>
      <c r="I28" s="53">
        <f t="shared" si="1"/>
        <v>0.13628076572470382</v>
      </c>
      <c r="J28" s="54">
        <v>0.2570381699917641</v>
      </c>
    </row>
    <row r="29" spans="1:10" x14ac:dyDescent="0.2">
      <c r="A29" s="24" t="str">
        <f>VLOOKUP("&lt;Zeilentitel_17&gt;",Uebersetzungen!$B$4:$E$78,Uebersetzungen!$B$2+1,FALSE)</f>
        <v>Finnland</v>
      </c>
      <c r="B29" s="5"/>
      <c r="C29" s="51">
        <v>812</v>
      </c>
      <c r="D29" s="52">
        <v>1049</v>
      </c>
      <c r="E29" s="53">
        <f t="shared" si="0"/>
        <v>-0.22592945662535746</v>
      </c>
      <c r="F29" s="72">
        <v>5.0996634739839397E-2</v>
      </c>
      <c r="G29" s="76">
        <v>6878</v>
      </c>
      <c r="H29" s="52">
        <v>8609</v>
      </c>
      <c r="I29" s="53">
        <f t="shared" si="1"/>
        <v>-0.20106864908816358</v>
      </c>
      <c r="J29" s="54">
        <v>8.526887149709661E-2</v>
      </c>
    </row>
    <row r="30" spans="1:10" x14ac:dyDescent="0.2">
      <c r="A30" s="24" t="str">
        <f>VLOOKUP("&lt;Zeilentitel_18&gt;",Uebersetzungen!$B$4:$E$78,Uebersetzungen!$B$2+1,FALSE)</f>
        <v>Japan</v>
      </c>
      <c r="B30" s="5"/>
      <c r="C30" s="51">
        <v>410</v>
      </c>
      <c r="D30" s="52">
        <v>405</v>
      </c>
      <c r="E30" s="53">
        <f t="shared" si="0"/>
        <v>1.2345679012345734E-2</v>
      </c>
      <c r="F30" s="72">
        <v>0.51068533529845261</v>
      </c>
      <c r="G30" s="76">
        <v>16623</v>
      </c>
      <c r="H30" s="52">
        <v>15413</v>
      </c>
      <c r="I30" s="53">
        <f t="shared" si="1"/>
        <v>7.8505157983520313E-2</v>
      </c>
      <c r="J30" s="54">
        <v>0.41121638141809314</v>
      </c>
    </row>
    <row r="31" spans="1:10" x14ac:dyDescent="0.2">
      <c r="A31" s="24" t="str">
        <f>VLOOKUP("&lt;Zeilentitel_19&gt;",Uebersetzungen!$B$4:$E$78,Uebersetzungen!$B$2+1,FALSE)</f>
        <v>China / Hongkong / Taiwan (Chin. Taipei)</v>
      </c>
      <c r="B31" s="5"/>
      <c r="C31" s="51">
        <v>2137</v>
      </c>
      <c r="D31" s="52">
        <v>2014</v>
      </c>
      <c r="E31" s="53">
        <f t="shared" si="0"/>
        <v>6.1072492552135094E-2</v>
      </c>
      <c r="F31" s="72">
        <v>0.37711045237788388</v>
      </c>
      <c r="G31" s="76">
        <v>40067</v>
      </c>
      <c r="H31" s="52">
        <v>31460</v>
      </c>
      <c r="I31" s="53">
        <f t="shared" si="1"/>
        <v>0.27358550540368731</v>
      </c>
      <c r="J31" s="54">
        <v>0.85961997233799603</v>
      </c>
    </row>
    <row r="32" spans="1:10" x14ac:dyDescent="0.2">
      <c r="A32" s="24" t="str">
        <f>VLOOKUP("&lt;Zeilentitel_20&gt;",Uebersetzungen!$B$4:$E$78,Uebersetzungen!$B$2+1,FALSE)</f>
        <v xml:space="preserve">Indien </v>
      </c>
      <c r="B32" s="5"/>
      <c r="C32" s="59">
        <v>1595</v>
      </c>
      <c r="D32" s="52">
        <v>1001</v>
      </c>
      <c r="E32" s="53">
        <f t="shared" si="0"/>
        <v>0.5934065934065933</v>
      </c>
      <c r="F32" s="72">
        <v>1.2370266479663394</v>
      </c>
      <c r="G32" s="77">
        <v>13388</v>
      </c>
      <c r="H32" s="52">
        <v>11554</v>
      </c>
      <c r="I32" s="53">
        <f t="shared" si="1"/>
        <v>0.15873290635277826</v>
      </c>
      <c r="J32" s="54">
        <v>0.66982638195968858</v>
      </c>
    </row>
    <row r="33" spans="1:10" x14ac:dyDescent="0.2">
      <c r="A33" s="24" t="str">
        <f>VLOOKUP("&lt;Zeilentitel_21&gt;",Uebersetzungen!$B$4:$E$78,Uebersetzungen!$B$2+1,FALSE)</f>
        <v>Brasilien</v>
      </c>
      <c r="B33" s="5"/>
      <c r="C33" s="51">
        <v>3735</v>
      </c>
      <c r="D33" s="52">
        <v>2046</v>
      </c>
      <c r="E33" s="53">
        <f t="shared" si="0"/>
        <v>0.82551319648093835</v>
      </c>
      <c r="F33" s="72">
        <v>1.4966577540106951</v>
      </c>
      <c r="G33" s="76">
        <v>29595</v>
      </c>
      <c r="H33" s="52">
        <v>20624</v>
      </c>
      <c r="I33" s="53">
        <f t="shared" si="1"/>
        <v>0.43497866563227316</v>
      </c>
      <c r="J33" s="54">
        <v>1.0387286103992728</v>
      </c>
    </row>
    <row r="34" spans="1:10" x14ac:dyDescent="0.2">
      <c r="A34" s="24" t="str">
        <f>VLOOKUP("&lt;Zeilentitel_22&gt;",Uebersetzungen!$B$4:$E$78,Uebersetzungen!$B$2+1,FALSE)</f>
        <v>Golfstaaten</v>
      </c>
      <c r="B34" s="5"/>
      <c r="C34" s="59">
        <v>5905</v>
      </c>
      <c r="D34" s="55">
        <v>5131</v>
      </c>
      <c r="E34" s="53">
        <f t="shared" si="0"/>
        <v>0.15084778795556431</v>
      </c>
      <c r="F34" s="72">
        <v>1.1972910619930044</v>
      </c>
      <c r="G34" s="77">
        <v>31482</v>
      </c>
      <c r="H34" s="55">
        <v>25254</v>
      </c>
      <c r="I34" s="53">
        <f t="shared" si="1"/>
        <v>0.24661439771917326</v>
      </c>
      <c r="J34" s="54">
        <v>0.99523405118324826</v>
      </c>
    </row>
    <row r="35" spans="1:10" x14ac:dyDescent="0.2">
      <c r="A35" s="24" t="str">
        <f>VLOOKUP("&lt;Zeilentitel_23&gt;",Uebersetzungen!$B$4:$E$78,Uebersetzungen!$B$2+1,FALSE)</f>
        <v>Übrige Herkunftsländer</v>
      </c>
      <c r="B35" s="5"/>
      <c r="C35" s="56">
        <f>C36-SUM(C13:C34)</f>
        <v>34790</v>
      </c>
      <c r="D35" s="57">
        <f>D36-SUM(D13:D34)</f>
        <v>33332</v>
      </c>
      <c r="E35" s="53">
        <f t="shared" si="0"/>
        <v>4.3741749669986785E-2</v>
      </c>
      <c r="F35" s="73" t="s">
        <v>50</v>
      </c>
      <c r="G35" s="78">
        <f>G36-SUM(G13:G34)</f>
        <v>250613</v>
      </c>
      <c r="H35" s="57">
        <f>H36-SUM(H13:H34)</f>
        <v>228061</v>
      </c>
      <c r="I35" s="53">
        <f t="shared" si="1"/>
        <v>9.8885824406627965E-2</v>
      </c>
      <c r="J35" s="58" t="s">
        <v>50</v>
      </c>
    </row>
    <row r="36" spans="1:10" ht="13.5" thickBot="1" x14ac:dyDescent="0.25">
      <c r="A36" s="26" t="str">
        <f>VLOOKUP("&lt;Zeilentitel_24&gt;",Uebersetzungen!$B$4:$E$78,Uebersetzungen!$B$2+1,FALSE)</f>
        <v>Graubünden</v>
      </c>
      <c r="B36" s="25"/>
      <c r="C36" s="30">
        <f>C61</f>
        <v>561351</v>
      </c>
      <c r="D36" s="19">
        <f>D61</f>
        <v>524587</v>
      </c>
      <c r="E36" s="12">
        <f t="shared" si="0"/>
        <v>7.0081797680842328E-2</v>
      </c>
      <c r="F36" s="74">
        <f>F61</f>
        <v>0.13949033906349007</v>
      </c>
      <c r="G36" s="79">
        <f t="shared" ref="G36:H36" si="2">G61</f>
        <v>5527038</v>
      </c>
      <c r="H36" s="19">
        <f t="shared" si="2"/>
        <v>5426042</v>
      </c>
      <c r="I36" s="12">
        <f t="shared" si="1"/>
        <v>1.8613199086921828E-2</v>
      </c>
      <c r="J36" s="47">
        <f>J61</f>
        <v>5.591625600461092E-2</v>
      </c>
    </row>
    <row r="37" spans="1:10" x14ac:dyDescent="0.2">
      <c r="C37" s="15"/>
      <c r="D37" s="16"/>
      <c r="E37" s="28"/>
      <c r="F37" s="27"/>
      <c r="I37" s="15"/>
      <c r="J37" s="15"/>
    </row>
    <row r="38" spans="1:10" x14ac:dyDescent="0.2">
      <c r="C38" s="15"/>
    </row>
    <row r="39" spans="1:10" ht="18" x14ac:dyDescent="0.25">
      <c r="A39" s="2" t="str">
        <f>VLOOKUP("&lt;T12Titel2&gt;",Uebersetzungen!$B$4:$E$304,Uebersetzungen!$B$2+1,FALSE)</f>
        <v>Hotel- und Kurbetriebe: Logiernächte im Dezember 2024, nach Destinationen</v>
      </c>
      <c r="B39" s="3"/>
      <c r="C39" s="3"/>
      <c r="D39" s="3"/>
      <c r="E39" s="3"/>
      <c r="F39" s="3"/>
    </row>
    <row r="40" spans="1:10" s="123" customFormat="1" x14ac:dyDescent="0.2">
      <c r="A40" s="120" t="str">
        <f>VLOOKUP("&lt;Titelprov&gt;",Uebersetzungen!$B$4:$E$304,Uebersetzungen!$B$2+1,FALSE)</f>
        <v>definitive Ergebnisse</v>
      </c>
      <c r="B40" s="121"/>
      <c r="C40" s="122"/>
      <c r="D40" s="122"/>
      <c r="E40" s="122"/>
      <c r="F40" s="122"/>
      <c r="G40" s="122"/>
    </row>
    <row r="41" spans="1:10" ht="13.5" thickBot="1" x14ac:dyDescent="0.25"/>
    <row r="42" spans="1:10" ht="51" x14ac:dyDescent="0.2">
      <c r="A42" s="8"/>
      <c r="B42" s="9"/>
      <c r="C42" s="20" t="str">
        <f>VLOOKUP("&lt;T12SpaltenTitel_1&gt;",Uebersetzungen!$B$4:$E$304,Uebersetzungen!$B$2+1,FALSE)</f>
        <v>Dezember 2024</v>
      </c>
      <c r="D42" s="21" t="str">
        <f>VLOOKUP("&lt;T12SpaltenTitel_2&gt;",Uebersetzungen!$B$4:$E$304,Uebersetzungen!$B$2+1,FALSE)</f>
        <v>Dezember 2023</v>
      </c>
      <c r="E42" s="22" t="str">
        <f>VLOOKUP("&lt;SpaltenTitel_3&gt;",Uebersetzungen!$B$4:$E$304,Uebersetzungen!$B$2+1,FALSE)</f>
        <v>Veränderung 24/23 in %</v>
      </c>
      <c r="F42" s="22" t="str">
        <f>VLOOKUP("&lt;SpaltenTitel_4&gt;",Uebersetzungen!$B$4:$E$304,Uebersetzungen!$B$2+1,FALSE)</f>
        <v>Veränderung zum
5-Jahresmittel 
in %</v>
      </c>
      <c r="G42" s="75" t="str">
        <f>VLOOKUP("&lt;T12SpaltenTitel_5&gt;",Uebersetzungen!$B$4:$E$304,Uebersetzungen!$B$2+1,FALSE)</f>
        <v>Januar-Dezember 24</v>
      </c>
      <c r="H42" s="22" t="str">
        <f>VLOOKUP("&lt;T12SpaltenTitel_6&gt;",Uebersetzungen!$B$4:$E$304,Uebersetzungen!$B$2+1,FALSE)</f>
        <v>Januar-Dezember 23</v>
      </c>
      <c r="I42" s="22" t="str">
        <f>VLOOKUP("&lt;SpaltenTitel_7&gt;",Uebersetzungen!$B$4:$E$304,Uebersetzungen!$B$2+1,FALSE)</f>
        <v>Veränderung 24/23 in %</v>
      </c>
      <c r="J42" s="23" t="str">
        <f>VLOOKUP("&lt;SpaltenTitel_8&gt;",Uebersetzungen!$B$4:$E$304,Uebersetzungen!$B$2+1,FALSE)</f>
        <v>Veränderung zum
5-Jahresmittel 
in %</v>
      </c>
    </row>
    <row r="43" spans="1:10" x14ac:dyDescent="0.2">
      <c r="A43" s="24" t="str">
        <f>VLOOKUP("&lt;Zeilentitel_25&gt;",Uebersetzungen!$B$4:$E$78,Uebersetzungen!$B$2+1,FALSE)</f>
        <v>Arosa</v>
      </c>
      <c r="B43" s="5"/>
      <c r="C43" s="13">
        <v>56711</v>
      </c>
      <c r="D43" s="17">
        <v>51375</v>
      </c>
      <c r="E43" s="10">
        <f>C43/D43-1</f>
        <v>0.10386374695863743</v>
      </c>
      <c r="F43" s="80">
        <v>0.22160902307466968</v>
      </c>
      <c r="G43" s="83">
        <v>430599</v>
      </c>
      <c r="H43" s="17">
        <v>403516</v>
      </c>
      <c r="I43" s="10">
        <f>G43/H43-1</f>
        <v>6.7117536851079018E-2</v>
      </c>
      <c r="J43" s="44">
        <v>0.1216173624478718</v>
      </c>
    </row>
    <row r="44" spans="1:10" x14ac:dyDescent="0.2">
      <c r="A44" s="24" t="str">
        <f>VLOOKUP("&lt;Zeilentitel_26&gt;",Uebersetzungen!$B$4:$E$78,Uebersetzungen!$B$2+1,FALSE)</f>
        <v>Bergün Filisur</v>
      </c>
      <c r="B44" s="5"/>
      <c r="C44" s="13">
        <v>4533</v>
      </c>
      <c r="D44" s="17">
        <v>4356</v>
      </c>
      <c r="E44" s="10">
        <f t="shared" ref="E44:E61" si="3">C44/D44-1</f>
        <v>4.0633608815427102E-2</v>
      </c>
      <c r="F44" s="80">
        <v>-3.095472230535723E-2</v>
      </c>
      <c r="G44" s="83">
        <v>58240</v>
      </c>
      <c r="H44" s="17">
        <v>63535</v>
      </c>
      <c r="I44" s="10">
        <f t="shared" ref="I44:I61" si="4">G44/H44-1</f>
        <v>-8.3339891398441779E-2</v>
      </c>
      <c r="J44" s="44">
        <v>-6.6433274985413071E-2</v>
      </c>
    </row>
    <row r="45" spans="1:10" x14ac:dyDescent="0.2">
      <c r="A45" s="24" t="str">
        <f>VLOOKUP("&lt;Zeilentitel_27&gt;",Uebersetzungen!$B$4:$E$78,Uebersetzungen!$B$2+1,FALSE)</f>
        <v>Bregaglia Engadin</v>
      </c>
      <c r="B45" s="5"/>
      <c r="C45" s="13">
        <v>3660</v>
      </c>
      <c r="D45" s="17">
        <v>3646</v>
      </c>
      <c r="E45" s="10">
        <f t="shared" si="3"/>
        <v>3.8398244651673963E-3</v>
      </c>
      <c r="F45" s="80">
        <v>4.9975286946015718E-3</v>
      </c>
      <c r="G45" s="83">
        <v>54029</v>
      </c>
      <c r="H45" s="17">
        <v>52624</v>
      </c>
      <c r="I45" s="10">
        <f t="shared" si="4"/>
        <v>2.669884463362715E-2</v>
      </c>
      <c r="J45" s="44">
        <v>1.4754566315844375E-3</v>
      </c>
    </row>
    <row r="46" spans="1:10" x14ac:dyDescent="0.2">
      <c r="A46" s="24" t="str">
        <f>VLOOKUP("&lt;Zeilentitel_28&gt;",Uebersetzungen!$B$4:$E$78,Uebersetzungen!$B$2+1,FALSE)</f>
        <v>Bündner Herrschaft</v>
      </c>
      <c r="B46" s="5"/>
      <c r="C46" s="13">
        <v>3827</v>
      </c>
      <c r="D46" s="17">
        <v>3355</v>
      </c>
      <c r="E46" s="10">
        <f t="shared" si="3"/>
        <v>0.1406855439642325</v>
      </c>
      <c r="F46" s="80">
        <v>0.49667579194368394</v>
      </c>
      <c r="G46" s="83">
        <v>58590</v>
      </c>
      <c r="H46" s="17">
        <v>54175</v>
      </c>
      <c r="I46" s="10">
        <f t="shared" si="4"/>
        <v>8.1495154591601393E-2</v>
      </c>
      <c r="J46" s="44">
        <v>0.25305296656386744</v>
      </c>
    </row>
    <row r="47" spans="1:10" x14ac:dyDescent="0.2">
      <c r="A47" s="24" t="str">
        <f>VLOOKUP("&lt;Zeilentitel_29&gt;",Uebersetzungen!$B$4:$E$78,Uebersetzungen!$B$2+1,FALSE)</f>
        <v>Chur</v>
      </c>
      <c r="B47" s="5"/>
      <c r="C47" s="13">
        <v>19406</v>
      </c>
      <c r="D47" s="17">
        <v>17836</v>
      </c>
      <c r="E47" s="10">
        <f t="shared" si="3"/>
        <v>8.8024220677281884E-2</v>
      </c>
      <c r="F47" s="80">
        <v>0.40291774503708622</v>
      </c>
      <c r="G47" s="83">
        <v>247362</v>
      </c>
      <c r="H47" s="17">
        <v>226732</v>
      </c>
      <c r="I47" s="10">
        <f t="shared" si="4"/>
        <v>9.0988479791119126E-2</v>
      </c>
      <c r="J47" s="44">
        <v>0.33968726440845409</v>
      </c>
    </row>
    <row r="48" spans="1:10" x14ac:dyDescent="0.2">
      <c r="A48" s="24" t="str">
        <f>VLOOKUP("&lt;Zeilentitel_30&gt;",Uebersetzungen!$B$4:$E$78,Uebersetzungen!$B$2+1,FALSE)</f>
        <v>Davos Klosters</v>
      </c>
      <c r="B48" s="5"/>
      <c r="C48" s="13">
        <v>120577</v>
      </c>
      <c r="D48" s="17">
        <v>107285</v>
      </c>
      <c r="E48" s="10">
        <f t="shared" si="3"/>
        <v>0.12389430022836367</v>
      </c>
      <c r="F48" s="80">
        <v>0.19457681524118997</v>
      </c>
      <c r="G48" s="83">
        <v>974540</v>
      </c>
      <c r="H48" s="17">
        <v>953708</v>
      </c>
      <c r="I48" s="10">
        <f t="shared" si="4"/>
        <v>2.184316373565065E-2</v>
      </c>
      <c r="J48" s="44">
        <v>5.0392859906732923E-2</v>
      </c>
    </row>
    <row r="49" spans="1:10" x14ac:dyDescent="0.2">
      <c r="A49" s="24" t="str">
        <f>VLOOKUP("&lt;Zeilentitel_31&gt;",Uebersetzungen!$B$4:$E$78,Uebersetzungen!$B$2+1,FALSE)</f>
        <v>Disentis Sedrun</v>
      </c>
      <c r="B49" s="5"/>
      <c r="C49" s="13">
        <v>10344</v>
      </c>
      <c r="D49" s="17">
        <v>8968</v>
      </c>
      <c r="E49" s="10">
        <f t="shared" si="3"/>
        <v>0.15343443354148079</v>
      </c>
      <c r="F49" s="80">
        <v>0.1427813867161607</v>
      </c>
      <c r="G49" s="83">
        <v>132346</v>
      </c>
      <c r="H49" s="17">
        <v>133881</v>
      </c>
      <c r="I49" s="10">
        <f t="shared" si="4"/>
        <v>-1.1465405845489607E-2</v>
      </c>
      <c r="J49" s="44">
        <v>4.0824190948055561E-2</v>
      </c>
    </row>
    <row r="50" spans="1:10" x14ac:dyDescent="0.2">
      <c r="A50" s="24" t="str">
        <f>VLOOKUP("&lt;Zeilentitel_32&gt;",Uebersetzungen!$B$4:$E$78,Uebersetzungen!$B$2+1,FALSE)</f>
        <v>Scuol Samnaun Val Müstair</v>
      </c>
      <c r="B50" s="5"/>
      <c r="C50" s="13">
        <v>44193</v>
      </c>
      <c r="D50" s="17">
        <v>41623</v>
      </c>
      <c r="E50" s="10">
        <f t="shared" si="3"/>
        <v>6.1744708454460229E-2</v>
      </c>
      <c r="F50" s="80">
        <v>5.2620296400039956E-2</v>
      </c>
      <c r="G50" s="83">
        <v>545594</v>
      </c>
      <c r="H50" s="17">
        <v>533540</v>
      </c>
      <c r="I50" s="10">
        <f t="shared" si="4"/>
        <v>2.2592495408029434E-2</v>
      </c>
      <c r="J50" s="44">
        <v>-3.3695102975931368E-3</v>
      </c>
    </row>
    <row r="51" spans="1:10" x14ac:dyDescent="0.2">
      <c r="A51" s="24" t="str">
        <f>VLOOKUP("&lt;Zeilentitel_33&gt;",Uebersetzungen!$B$4:$E$78,Uebersetzungen!$B$2+1,FALSE)</f>
        <v>Engadin St. Moritz</v>
      </c>
      <c r="B51" s="5"/>
      <c r="C51" s="13">
        <v>176345</v>
      </c>
      <c r="D51" s="17">
        <v>169747</v>
      </c>
      <c r="E51" s="10">
        <f t="shared" si="3"/>
        <v>3.8869611834082551E-2</v>
      </c>
      <c r="F51" s="80">
        <v>0.11431763407892892</v>
      </c>
      <c r="G51" s="83">
        <v>1694400</v>
      </c>
      <c r="H51" s="17">
        <v>1678220</v>
      </c>
      <c r="I51" s="10">
        <f t="shared" si="4"/>
        <v>9.6411674273932935E-3</v>
      </c>
      <c r="J51" s="44">
        <v>7.6710132017727028E-2</v>
      </c>
    </row>
    <row r="52" spans="1:10" x14ac:dyDescent="0.2">
      <c r="A52" s="24" t="str">
        <f>VLOOKUP("&lt;Zeilentitel_34&gt;",Uebersetzungen!$B$4:$E$78,Uebersetzungen!$B$2+1,FALSE)</f>
        <v>Flims Laax</v>
      </c>
      <c r="B52" s="5"/>
      <c r="C52" s="13">
        <v>46489</v>
      </c>
      <c r="D52" s="17">
        <v>39286</v>
      </c>
      <c r="E52" s="10">
        <f t="shared" si="3"/>
        <v>0.18334775747085486</v>
      </c>
      <c r="F52" s="80">
        <v>7.8120796653092128E-2</v>
      </c>
      <c r="G52" s="83">
        <v>468714</v>
      </c>
      <c r="H52" s="17">
        <v>472852</v>
      </c>
      <c r="I52" s="10">
        <f t="shared" si="4"/>
        <v>-8.751152580511401E-3</v>
      </c>
      <c r="J52" s="44">
        <v>-4.5052533784816329E-2</v>
      </c>
    </row>
    <row r="53" spans="1:10" x14ac:dyDescent="0.2">
      <c r="A53" s="24" t="str">
        <f>VLOOKUP("&lt;Zeilentitel_35&gt;",Uebersetzungen!$B$4:$E$78,Uebersetzungen!$B$2+1,FALSE)</f>
        <v>Lenzerheide</v>
      </c>
      <c r="B53" s="5"/>
      <c r="C53" s="13">
        <v>35317</v>
      </c>
      <c r="D53" s="17">
        <v>39514</v>
      </c>
      <c r="E53" s="10">
        <f t="shared" si="3"/>
        <v>-0.10621551855038724</v>
      </c>
      <c r="F53" s="80">
        <v>4.5221817751339266E-2</v>
      </c>
      <c r="G53" s="83">
        <v>332720</v>
      </c>
      <c r="H53" s="17">
        <v>323616</v>
      </c>
      <c r="I53" s="10">
        <f t="shared" si="4"/>
        <v>2.8132107188767019E-2</v>
      </c>
      <c r="J53" s="44">
        <v>1.3843139525317127E-2</v>
      </c>
    </row>
    <row r="54" spans="1:10" x14ac:dyDescent="0.2">
      <c r="A54" s="24" t="str">
        <f>VLOOKUP("&lt;Zeilentitel_36&gt;",Uebersetzungen!$B$4:$E$78,Uebersetzungen!$B$2+1,FALSE)</f>
        <v>Prättigau</v>
      </c>
      <c r="B54" s="5"/>
      <c r="C54" s="13">
        <v>5855</v>
      </c>
      <c r="D54" s="17">
        <v>5377</v>
      </c>
      <c r="E54" s="10">
        <f t="shared" si="3"/>
        <v>8.8897154547145307E-2</v>
      </c>
      <c r="F54" s="80">
        <v>0.16262907069102472</v>
      </c>
      <c r="G54" s="83">
        <v>79816</v>
      </c>
      <c r="H54" s="17">
        <v>83698</v>
      </c>
      <c r="I54" s="10">
        <f t="shared" si="4"/>
        <v>-4.6381036583908797E-2</v>
      </c>
      <c r="J54" s="44">
        <v>0.11760505201842708</v>
      </c>
    </row>
    <row r="55" spans="1:10" x14ac:dyDescent="0.2">
      <c r="A55" s="24" t="str">
        <f>VLOOKUP("&lt;Zeilentitel_37&gt;",Uebersetzungen!$B$4:$E$78,Uebersetzungen!$B$2+1,FALSE)</f>
        <v>San Bernardino, Mesolcina/Calanca</v>
      </c>
      <c r="B55" s="5"/>
      <c r="C55" s="13">
        <v>3110</v>
      </c>
      <c r="D55" s="17">
        <v>1557</v>
      </c>
      <c r="E55" s="10">
        <f t="shared" si="3"/>
        <v>0.99743095696852913</v>
      </c>
      <c r="F55" s="80">
        <v>0.70747776435708798</v>
      </c>
      <c r="G55" s="83">
        <v>25980</v>
      </c>
      <c r="H55" s="17">
        <v>24222</v>
      </c>
      <c r="I55" s="10">
        <f t="shared" si="4"/>
        <v>7.2578647510527672E-2</v>
      </c>
      <c r="J55" s="44">
        <v>9.877096673236152E-2</v>
      </c>
    </row>
    <row r="56" spans="1:10" x14ac:dyDescent="0.2">
      <c r="A56" s="24" t="str">
        <f>VLOOKUP("&lt;Zeilentitel_38&gt;",Uebersetzungen!$B$4:$E$78,Uebersetzungen!$B$2+1,FALSE)</f>
        <v>Val Surses</v>
      </c>
      <c r="B56" s="5"/>
      <c r="C56" s="13">
        <v>7124</v>
      </c>
      <c r="D56" s="17">
        <v>7264</v>
      </c>
      <c r="E56" s="10">
        <f t="shared" si="3"/>
        <v>-1.927312775330392E-2</v>
      </c>
      <c r="F56" s="80">
        <v>0.2870356988004048</v>
      </c>
      <c r="G56" s="83">
        <v>93142</v>
      </c>
      <c r="H56" s="17">
        <v>85079</v>
      </c>
      <c r="I56" s="10">
        <f t="shared" si="4"/>
        <v>9.4770742486395054E-2</v>
      </c>
      <c r="J56" s="44">
        <v>0.2548872727468694</v>
      </c>
    </row>
    <row r="57" spans="1:10" x14ac:dyDescent="0.2">
      <c r="A57" s="24" t="str">
        <f>VLOOKUP("&lt;Zeilentitel_39&gt;",Uebersetzungen!$B$4:$E$78,Uebersetzungen!$B$2+1,FALSE)</f>
        <v>Surselva</v>
      </c>
      <c r="B57" s="5"/>
      <c r="C57" s="13">
        <v>8670</v>
      </c>
      <c r="D57" s="17">
        <v>7314</v>
      </c>
      <c r="E57" s="10">
        <f t="shared" si="3"/>
        <v>0.18539786710418382</v>
      </c>
      <c r="F57" s="80">
        <v>0.19503790489317718</v>
      </c>
      <c r="G57" s="83">
        <v>100161</v>
      </c>
      <c r="H57" s="17">
        <v>98765</v>
      </c>
      <c r="I57" s="10">
        <f t="shared" si="4"/>
        <v>1.4134561838708093E-2</v>
      </c>
      <c r="J57" s="44">
        <v>-5.1180423592178226E-2</v>
      </c>
    </row>
    <row r="58" spans="1:10" x14ac:dyDescent="0.2">
      <c r="A58" s="24" t="str">
        <f>VLOOKUP("&lt;Zeilentitel_40&gt;",Uebersetzungen!$B$4:$E$78,Uebersetzungen!$B$2+1,FALSE)</f>
        <v>Valposchiavo</v>
      </c>
      <c r="B58" s="5"/>
      <c r="C58" s="13">
        <v>3982</v>
      </c>
      <c r="D58" s="17">
        <v>4031</v>
      </c>
      <c r="E58" s="10">
        <f t="shared" si="3"/>
        <v>-1.2155792607293492E-2</v>
      </c>
      <c r="F58" s="80">
        <v>0.4008302258495744</v>
      </c>
      <c r="G58" s="83">
        <v>73560</v>
      </c>
      <c r="H58" s="17">
        <v>78204</v>
      </c>
      <c r="I58" s="10">
        <f t="shared" si="4"/>
        <v>-5.938315175694342E-2</v>
      </c>
      <c r="J58" s="44">
        <v>5.5377172518873419E-2</v>
      </c>
    </row>
    <row r="59" spans="1:10" x14ac:dyDescent="0.2">
      <c r="A59" s="24" t="str">
        <f>VLOOKUP("&lt;Zeilentitel_41&gt;",Uebersetzungen!$B$4:$E$78,Uebersetzungen!$B$2+1,FALSE)</f>
        <v>Vals</v>
      </c>
      <c r="B59" s="5"/>
      <c r="C59" s="13">
        <v>5911</v>
      </c>
      <c r="D59" s="17">
        <v>6823</v>
      </c>
      <c r="E59" s="10">
        <f t="shared" si="3"/>
        <v>-0.13366554301626854</v>
      </c>
      <c r="F59" s="80">
        <v>-0.14161656646626586</v>
      </c>
      <c r="G59" s="83">
        <v>65426</v>
      </c>
      <c r="H59" s="17">
        <v>67815</v>
      </c>
      <c r="I59" s="10">
        <f t="shared" si="4"/>
        <v>-3.5228194352281972E-2</v>
      </c>
      <c r="J59" s="44">
        <v>-0.10377061261838805</v>
      </c>
    </row>
    <row r="60" spans="1:10" x14ac:dyDescent="0.2">
      <c r="A60" s="24" t="str">
        <f>VLOOKUP("&lt;Zeilentitel_42&gt;",Uebersetzungen!$B$4:$E$78,Uebersetzungen!$B$2+1,FALSE)</f>
        <v>Viamala</v>
      </c>
      <c r="B60" s="7"/>
      <c r="C60" s="14">
        <v>5297</v>
      </c>
      <c r="D60" s="18">
        <v>5230</v>
      </c>
      <c r="E60" s="11">
        <f t="shared" si="3"/>
        <v>1.2810707456978987E-2</v>
      </c>
      <c r="F60" s="81">
        <v>6.1735818801363029E-2</v>
      </c>
      <c r="G60" s="84">
        <v>91819</v>
      </c>
      <c r="H60" s="18">
        <v>91860</v>
      </c>
      <c r="I60" s="11">
        <f t="shared" si="4"/>
        <v>-4.4633137382976695E-4</v>
      </c>
      <c r="J60" s="46">
        <v>1.9151193869487049E-2</v>
      </c>
    </row>
    <row r="61" spans="1:10" ht="13.5" thickBot="1" x14ac:dyDescent="0.25">
      <c r="A61" s="26" t="str">
        <f>VLOOKUP("&lt;Zeilentitel_43&gt;",Uebersetzungen!$B$4:$E$78,Uebersetzungen!$B$2+1,FALSE)</f>
        <v>Graubünden</v>
      </c>
      <c r="B61" s="6"/>
      <c r="C61" s="30">
        <v>561351</v>
      </c>
      <c r="D61" s="40">
        <v>524587</v>
      </c>
      <c r="E61" s="65">
        <f t="shared" si="3"/>
        <v>7.0081797680842328E-2</v>
      </c>
      <c r="F61" s="82">
        <v>0.13949033906349007</v>
      </c>
      <c r="G61" s="79">
        <v>5527038</v>
      </c>
      <c r="H61" s="40">
        <v>5426042</v>
      </c>
      <c r="I61" s="65">
        <f t="shared" si="4"/>
        <v>1.8613199086921828E-2</v>
      </c>
      <c r="J61" s="66">
        <v>5.591625600461092E-2</v>
      </c>
    </row>
    <row r="63" spans="1:10" x14ac:dyDescent="0.2">
      <c r="A63" s="4" t="str">
        <f>VLOOKUP("&lt;Legende_1&gt;",Uebersetzungen!$B$4:$E$80,Uebersetzungen!$B$2+1,FALSE)</f>
        <v>Aktuelle Zuordnung der politischen Gemeinden zu Destinationen:</v>
      </c>
      <c r="E63" s="67" t="s">
        <v>214</v>
      </c>
      <c r="F63" s="49"/>
    </row>
    <row r="65" spans="1:10" ht="10.5" customHeight="1" x14ac:dyDescent="0.2"/>
    <row r="66" spans="1:10" ht="18" x14ac:dyDescent="0.25">
      <c r="A66" s="2" t="str">
        <f>VLOOKUP("&lt;T12Titel3&gt;",Uebersetzungen!$B$4:$E$304,Uebersetzungen!$B$2+1,FALSE)</f>
        <v>Hotel- und Kurbetriebe: Logiernächte im Dezember 2024, nach Schweizer Tourismusregionen</v>
      </c>
      <c r="B66" s="3"/>
      <c r="C66" s="3"/>
      <c r="D66" s="3"/>
      <c r="E66" s="3"/>
      <c r="F66" s="3"/>
    </row>
    <row r="67" spans="1:10" s="123" customFormat="1" x14ac:dyDescent="0.2">
      <c r="A67" s="120" t="str">
        <f>VLOOKUP("&lt;Titelprov&gt;",Uebersetzungen!$B$4:$E$304,Uebersetzungen!$B$2+1,FALSE)</f>
        <v>definitive Ergebnisse</v>
      </c>
      <c r="B67" s="121"/>
      <c r="C67" s="122"/>
      <c r="D67" s="122"/>
      <c r="E67" s="122"/>
      <c r="F67" s="122"/>
      <c r="G67" s="122"/>
    </row>
    <row r="68" spans="1:10" ht="18.75" customHeight="1" thickBot="1" x14ac:dyDescent="0.3">
      <c r="A68" s="50"/>
    </row>
    <row r="69" spans="1:10" ht="51" x14ac:dyDescent="0.2">
      <c r="A69" s="8"/>
      <c r="B69" s="9"/>
      <c r="C69" s="20" t="str">
        <f>VLOOKUP("&lt;T12SpaltenTitel_1&gt;",Uebersetzungen!$B$4:$E$304,Uebersetzungen!$B$2+1,FALSE)</f>
        <v>Dezember 2024</v>
      </c>
      <c r="D69" s="21" t="str">
        <f>VLOOKUP("&lt;T12SpaltenTitel_2&gt;",Uebersetzungen!$B$4:$E$304,Uebersetzungen!$B$2+1,FALSE)</f>
        <v>Dezember 2023</v>
      </c>
      <c r="E69" s="22" t="str">
        <f>VLOOKUP("&lt;SpaltenTitel_3&gt;",Uebersetzungen!$B$4:$E$304,Uebersetzungen!$B$2+1,FALSE)</f>
        <v>Veränderung 24/23 in %</v>
      </c>
      <c r="F69" s="22" t="str">
        <f>VLOOKUP("&lt;SpaltenTitel_4&gt;",Uebersetzungen!$B$4:$E$304,Uebersetzungen!$B$2+1,FALSE)</f>
        <v>Veränderung zum
5-Jahresmittel 
in %</v>
      </c>
      <c r="G69" s="75" t="str">
        <f>VLOOKUP("&lt;T12SpaltenTitel_5&gt;",Uebersetzungen!$B$4:$E$304,Uebersetzungen!$B$2+1,FALSE)</f>
        <v>Januar-Dezember 24</v>
      </c>
      <c r="H69" s="22" t="str">
        <f>VLOOKUP("&lt;T12SpaltenTitel_6&gt;",Uebersetzungen!$B$4:$E$304,Uebersetzungen!$B$2+1,FALSE)</f>
        <v>Januar-Dezember 23</v>
      </c>
      <c r="I69" s="22" t="str">
        <f>VLOOKUP("&lt;SpaltenTitel_7&gt;",Uebersetzungen!$B$4:$E$304,Uebersetzungen!$B$2+1,FALSE)</f>
        <v>Veränderung 24/23 in %</v>
      </c>
      <c r="J69" s="23" t="str">
        <f>VLOOKUP("&lt;SpaltenTitel_8&gt;",Uebersetzungen!$B$4:$E$304,Uebersetzungen!$B$2+1,FALSE)</f>
        <v>Veränderung zum
5-Jahresmittel 
in %</v>
      </c>
    </row>
    <row r="70" spans="1:10" x14ac:dyDescent="0.2">
      <c r="A70" s="24" t="str">
        <f>VLOOKUP("&lt;Zeilentitel_44&gt;",Uebersetzungen!$B$4:$E$78,Uebersetzungen!$B$2+1,FALSE)</f>
        <v>Aargau und Solothurn Region</v>
      </c>
      <c r="B70" s="5"/>
      <c r="C70" s="13">
        <v>81105</v>
      </c>
      <c r="D70" s="17">
        <v>74300</v>
      </c>
      <c r="E70" s="10">
        <f>C70/D70-1</f>
        <v>9.1588156123822317E-2</v>
      </c>
      <c r="F70" s="80">
        <v>0.34010449196482573</v>
      </c>
      <c r="G70" s="83">
        <v>1215622</v>
      </c>
      <c r="H70" s="17">
        <v>1145927</v>
      </c>
      <c r="I70" s="10">
        <f>G70/H70-1</f>
        <v>6.0819755534165854E-2</v>
      </c>
      <c r="J70" s="44">
        <v>0.29230945212216186</v>
      </c>
    </row>
    <row r="71" spans="1:10" x14ac:dyDescent="0.2">
      <c r="A71" s="24" t="str">
        <f>VLOOKUP("&lt;Zeilentitel_45&gt;",Uebersetzungen!$B$4:$E$78,Uebersetzungen!$B$2+1,FALSE)</f>
        <v>Basel Region</v>
      </c>
      <c r="B71" s="5"/>
      <c r="C71" s="13">
        <v>194761</v>
      </c>
      <c r="D71" s="17">
        <v>165385</v>
      </c>
      <c r="E71" s="10">
        <f t="shared" ref="E71:E83" si="5">C71/D71-1</f>
        <v>0.17762191250718029</v>
      </c>
      <c r="F71" s="80">
        <v>0.76939961007269786</v>
      </c>
      <c r="G71" s="83">
        <v>1842726</v>
      </c>
      <c r="H71" s="17">
        <v>1750112</v>
      </c>
      <c r="I71" s="10">
        <f t="shared" ref="I71:I83" si="6">G71/H71-1</f>
        <v>5.2918898904755762E-2</v>
      </c>
      <c r="J71" s="44">
        <v>0.38366040780725741</v>
      </c>
    </row>
    <row r="72" spans="1:10" x14ac:dyDescent="0.2">
      <c r="A72" s="24" t="str">
        <f>VLOOKUP("&lt;Zeilentitel_46&gt;",Uebersetzungen!$B$4:$E$78,Uebersetzungen!$B$2+1,FALSE)</f>
        <v>Bern Region</v>
      </c>
      <c r="B72" s="5"/>
      <c r="C72" s="13">
        <v>387966</v>
      </c>
      <c r="D72" s="17">
        <v>380484</v>
      </c>
      <c r="E72" s="10">
        <f t="shared" si="5"/>
        <v>1.9664427413504937E-2</v>
      </c>
      <c r="F72" s="80">
        <v>0.23835113778693628</v>
      </c>
      <c r="G72" s="83">
        <v>6149887</v>
      </c>
      <c r="H72" s="17">
        <v>5993180</v>
      </c>
      <c r="I72" s="10">
        <f t="shared" si="6"/>
        <v>2.6147554386819705E-2</v>
      </c>
      <c r="J72" s="44">
        <v>0.28741657177987934</v>
      </c>
    </row>
    <row r="73" spans="1:10" x14ac:dyDescent="0.2">
      <c r="A73" s="24" t="str">
        <f>VLOOKUP("&lt;Zeilentitel_47&gt;",Uebersetzungen!$B$4:$E$78,Uebersetzungen!$B$2+1,FALSE)</f>
        <v>Fribourg Region</v>
      </c>
      <c r="B73" s="5"/>
      <c r="C73" s="13">
        <v>30608</v>
      </c>
      <c r="D73" s="17">
        <v>30063</v>
      </c>
      <c r="E73" s="10">
        <f t="shared" si="5"/>
        <v>1.8128596613777637E-2</v>
      </c>
      <c r="F73" s="80">
        <v>0.26005516446420485</v>
      </c>
      <c r="G73" s="83">
        <v>484516</v>
      </c>
      <c r="H73" s="17">
        <v>496830</v>
      </c>
      <c r="I73" s="10">
        <f t="shared" si="6"/>
        <v>-2.4785137773483901E-2</v>
      </c>
      <c r="J73" s="44">
        <v>0.12666558460734945</v>
      </c>
    </row>
    <row r="74" spans="1:10" x14ac:dyDescent="0.2">
      <c r="A74" s="24" t="str">
        <f>VLOOKUP("&lt;Zeilentitel_48&gt;",Uebersetzungen!$B$4:$E$78,Uebersetzungen!$B$2+1,FALSE)</f>
        <v>Genf</v>
      </c>
      <c r="B74" s="5"/>
      <c r="C74" s="13">
        <v>317656</v>
      </c>
      <c r="D74" s="17">
        <v>285862</v>
      </c>
      <c r="E74" s="10">
        <f t="shared" si="5"/>
        <v>0.11122149848528307</v>
      </c>
      <c r="F74" s="80">
        <v>0.60386799302420213</v>
      </c>
      <c r="G74" s="83">
        <v>3787771</v>
      </c>
      <c r="H74" s="17">
        <v>3553303</v>
      </c>
      <c r="I74" s="10">
        <f t="shared" si="6"/>
        <v>6.5985929148175693E-2</v>
      </c>
      <c r="J74" s="44">
        <v>0.54120557230766275</v>
      </c>
    </row>
    <row r="75" spans="1:10" x14ac:dyDescent="0.2">
      <c r="A75" s="110" t="str">
        <f>VLOOKUP("&lt;Zeilentitel_49&gt;",Uebersetzungen!$B$4:$E$78,Uebersetzungen!$B$2+1,FALSE)</f>
        <v>Graubünden</v>
      </c>
      <c r="B75" s="60"/>
      <c r="C75" s="61">
        <v>561351</v>
      </c>
      <c r="D75" s="62">
        <v>524587</v>
      </c>
      <c r="E75" s="63">
        <f t="shared" si="5"/>
        <v>7.0081797680842328E-2</v>
      </c>
      <c r="F75" s="85">
        <v>0.13949033906349007</v>
      </c>
      <c r="G75" s="87">
        <v>5527038</v>
      </c>
      <c r="H75" s="62">
        <v>5426042</v>
      </c>
      <c r="I75" s="63">
        <f t="shared" si="6"/>
        <v>1.8613199086921828E-2</v>
      </c>
      <c r="J75" s="64">
        <v>5.591625600461092E-2</v>
      </c>
    </row>
    <row r="76" spans="1:10" x14ac:dyDescent="0.2">
      <c r="A76" s="24" t="str">
        <f>VLOOKUP("&lt;Zeilentitel_50&gt;",Uebersetzungen!$B$4:$E$78,Uebersetzungen!$B$2+1,FALSE)</f>
        <v>Jura &amp; Drei-Seen-Land</v>
      </c>
      <c r="B76" s="5"/>
      <c r="C76" s="13">
        <v>31575</v>
      </c>
      <c r="D76" s="17">
        <v>31833</v>
      </c>
      <c r="E76" s="10">
        <f t="shared" si="5"/>
        <v>-8.1047969088681171E-3</v>
      </c>
      <c r="F76" s="80">
        <v>0.15482521267802407</v>
      </c>
      <c r="G76" s="83">
        <v>615361</v>
      </c>
      <c r="H76" s="17">
        <v>602764</v>
      </c>
      <c r="I76" s="10">
        <f t="shared" si="6"/>
        <v>2.0898726533104206E-2</v>
      </c>
      <c r="J76" s="44">
        <v>0.12817537143779067</v>
      </c>
    </row>
    <row r="77" spans="1:10" x14ac:dyDescent="0.2">
      <c r="A77" s="24" t="str">
        <f>VLOOKUP("&lt;Zeilentitel_51&gt;",Uebersetzungen!$B$4:$E$78,Uebersetzungen!$B$2+1,FALSE)</f>
        <v>Luzern / Vierwaldstättersee</v>
      </c>
      <c r="B77" s="5"/>
      <c r="C77" s="13">
        <v>275488</v>
      </c>
      <c r="D77" s="17">
        <v>259626</v>
      </c>
      <c r="E77" s="10">
        <f t="shared" si="5"/>
        <v>6.1095575943857616E-2</v>
      </c>
      <c r="F77" s="80">
        <v>0.3031339963917461</v>
      </c>
      <c r="G77" s="83">
        <v>4068528</v>
      </c>
      <c r="H77" s="17">
        <v>3944351</v>
      </c>
      <c r="I77" s="10">
        <f t="shared" si="6"/>
        <v>3.1482238776417315E-2</v>
      </c>
      <c r="J77" s="44">
        <v>0.2552296762945836</v>
      </c>
    </row>
    <row r="78" spans="1:10" x14ac:dyDescent="0.2">
      <c r="A78" s="24" t="str">
        <f>VLOOKUP("&lt;Zeilentitel_52&gt;",Uebersetzungen!$B$4:$E$78,Uebersetzungen!$B$2+1,FALSE)</f>
        <v>Ostschweiz</v>
      </c>
      <c r="B78" s="5"/>
      <c r="C78" s="13">
        <v>121925</v>
      </c>
      <c r="D78" s="17">
        <v>123019</v>
      </c>
      <c r="E78" s="10">
        <f t="shared" si="5"/>
        <v>-8.8929352376462267E-3</v>
      </c>
      <c r="F78" s="80">
        <v>0.154940597642093</v>
      </c>
      <c r="G78" s="83">
        <v>2034898</v>
      </c>
      <c r="H78" s="17">
        <v>2039260</v>
      </c>
      <c r="I78" s="10">
        <f t="shared" si="6"/>
        <v>-2.139011209948749E-3</v>
      </c>
      <c r="J78" s="44">
        <v>0.10391118792765153</v>
      </c>
    </row>
    <row r="79" spans="1:10" x14ac:dyDescent="0.2">
      <c r="A79" s="24" t="str">
        <f>VLOOKUP("&lt;Zeilentitel_53&gt;",Uebersetzungen!$B$4:$E$78,Uebersetzungen!$B$2+1,FALSE)</f>
        <v>Tessin</v>
      </c>
      <c r="B79" s="5"/>
      <c r="C79" s="13">
        <v>92356</v>
      </c>
      <c r="D79" s="17">
        <v>85710</v>
      </c>
      <c r="E79" s="10">
        <f t="shared" si="5"/>
        <v>7.7540543693851438E-2</v>
      </c>
      <c r="F79" s="80">
        <v>0.26410130768156836</v>
      </c>
      <c r="G79" s="83">
        <v>2420801</v>
      </c>
      <c r="H79" s="17">
        <v>2457836</v>
      </c>
      <c r="I79" s="10">
        <f t="shared" si="6"/>
        <v>-1.5068133105707648E-2</v>
      </c>
      <c r="J79" s="44">
        <v>-7.1127903490484368E-3</v>
      </c>
    </row>
    <row r="80" spans="1:10" x14ac:dyDescent="0.2">
      <c r="A80" s="24" t="str">
        <f>VLOOKUP("&lt;Zeilentitel_54&gt;",Uebersetzungen!$B$4:$E$78,Uebersetzungen!$B$2+1,FALSE)</f>
        <v>Waadt</v>
      </c>
      <c r="B80" s="5"/>
      <c r="C80" s="13">
        <v>224338</v>
      </c>
      <c r="D80" s="17">
        <v>213295</v>
      </c>
      <c r="E80" s="10">
        <f t="shared" si="5"/>
        <v>5.1773365526618154E-2</v>
      </c>
      <c r="F80" s="80">
        <v>0.31435930125191591</v>
      </c>
      <c r="G80" s="83">
        <v>2944702</v>
      </c>
      <c r="H80" s="17">
        <v>2911115</v>
      </c>
      <c r="I80" s="10">
        <f t="shared" si="6"/>
        <v>1.1537503671273708E-2</v>
      </c>
      <c r="J80" s="44">
        <v>0.21009537831574021</v>
      </c>
    </row>
    <row r="81" spans="1:10" x14ac:dyDescent="0.2">
      <c r="A81" s="24" t="str">
        <f>VLOOKUP("&lt;Zeilentitel_55&gt;",Uebersetzungen!$B$4:$E$78,Uebersetzungen!$B$2+1,FALSE)</f>
        <v>Wallis</v>
      </c>
      <c r="B81" s="5"/>
      <c r="C81" s="13">
        <v>401171</v>
      </c>
      <c r="D81" s="17">
        <v>383668</v>
      </c>
      <c r="E81" s="33">
        <f t="shared" si="5"/>
        <v>4.5620171606701732E-2</v>
      </c>
      <c r="F81" s="80">
        <v>0.1509077680988451</v>
      </c>
      <c r="G81" s="83">
        <v>4435124</v>
      </c>
      <c r="H81" s="17">
        <v>4479096</v>
      </c>
      <c r="I81" s="33">
        <f t="shared" si="6"/>
        <v>-9.8171595339774376E-3</v>
      </c>
      <c r="J81" s="44">
        <v>0.12799722227958843</v>
      </c>
    </row>
    <row r="82" spans="1:10" x14ac:dyDescent="0.2">
      <c r="A82" s="24" t="str">
        <f>VLOOKUP("&lt;Zeilentitel_56&gt;",Uebersetzungen!$B$4:$E$78,Uebersetzungen!$B$2+1,FALSE)</f>
        <v>Zürich Region</v>
      </c>
      <c r="B82" s="7"/>
      <c r="C82" s="14">
        <v>617062</v>
      </c>
      <c r="D82" s="18">
        <v>560587</v>
      </c>
      <c r="E82" s="43">
        <f t="shared" si="5"/>
        <v>0.10074261443808008</v>
      </c>
      <c r="F82" s="11">
        <v>0.54034371425675776</v>
      </c>
      <c r="G82" s="84">
        <v>7303614</v>
      </c>
      <c r="H82" s="18">
        <v>6959267</v>
      </c>
      <c r="I82" s="43">
        <f t="shared" si="6"/>
        <v>4.9480354755752298E-2</v>
      </c>
      <c r="J82" s="48">
        <v>0.4708891148775165</v>
      </c>
    </row>
    <row r="83" spans="1:10" ht="13.5" thickBot="1" x14ac:dyDescent="0.25">
      <c r="A83" s="71" t="str">
        <f>VLOOKUP("&lt;Zeilentitel_57&gt;",Uebersetzungen!$B$4:$E$78,Uebersetzungen!$B$2+1,FALSE)</f>
        <v>Schweiz</v>
      </c>
      <c r="B83" s="39"/>
      <c r="C83" s="30">
        <v>3337362</v>
      </c>
      <c r="D83" s="40">
        <v>3118419</v>
      </c>
      <c r="E83" s="41">
        <f t="shared" si="5"/>
        <v>7.0209615834177619E-2</v>
      </c>
      <c r="F83" s="86">
        <v>0.31594632499252406</v>
      </c>
      <c r="G83" s="79">
        <v>42830588</v>
      </c>
      <c r="H83" s="40">
        <v>41759083</v>
      </c>
      <c r="I83" s="41">
        <f t="shared" si="6"/>
        <v>2.5659208081748375E-2</v>
      </c>
      <c r="J83" s="45">
        <v>0.23893921322938216</v>
      </c>
    </row>
    <row r="84" spans="1:10" x14ac:dyDescent="0.2">
      <c r="A84" s="34"/>
      <c r="B84" s="35"/>
      <c r="C84" s="29"/>
      <c r="D84" s="36"/>
      <c r="E84" s="37"/>
      <c r="F84" s="38"/>
    </row>
    <row r="85" spans="1:10" x14ac:dyDescent="0.2">
      <c r="A85" s="4" t="str">
        <f>VLOOKUP("&lt;Quelle_1&gt;",Uebersetzungen!$B$4:$E$86,Uebersetzungen!$B$2+1,FALSE)</f>
        <v>Quelle: BFS (HESTA)</v>
      </c>
    </row>
    <row r="86" spans="1:10" ht="12.75" customHeight="1" x14ac:dyDescent="0.2">
      <c r="A86" s="4" t="str">
        <f>VLOOKUP("&lt;T12Aktualisierung&gt;",Uebersetzungen!$B$4:$E$304,Uebersetzungen!$B$2+1,FALSE)</f>
        <v>Letztmals aktualisiert am: 20.02.2025</v>
      </c>
    </row>
    <row r="87" spans="1:10" x14ac:dyDescent="0.2">
      <c r="A87" s="4" t="str">
        <f>VLOOKUP("&lt;Legende_2&gt;",Uebersetzungen!$B$4:$E$86,Uebersetzungen!$B$2+1,FALSE)</f>
        <v>Kontakt: Luzius Stricker, 081 257 23 74, luzius.stricker@awt.gr.ch</v>
      </c>
    </row>
    <row r="88" spans="1:10" x14ac:dyDescent="0.2">
      <c r="A88" s="31" t="str">
        <f>VLOOKUP("&lt;T12Legende_3&gt;",Uebersetzungen!$B$4:$E$304,Uebersetzungen!$B$2+1,FALSE)</f>
        <v>Daten des Januar 2025 erscheinen am 10. März 2025.</v>
      </c>
    </row>
    <row r="90" spans="1:10" x14ac:dyDescent="0.2">
      <c r="A90" s="4" t="s">
        <v>55</v>
      </c>
    </row>
  </sheetData>
  <sheetProtection sheet="1" objects="1" scenarios="1"/>
  <mergeCells count="1">
    <mergeCell ref="A7:D7"/>
  </mergeCells>
  <hyperlinks>
    <hyperlink ref="E63" r:id="rId1"/>
  </hyperlinks>
  <pageMargins left="0.70866141732283472" right="0.70866141732283472" top="0.78740157480314965" bottom="0.78740157480314965" header="0.31496062992125984" footer="0.31496062992125984"/>
  <pageSetup paperSize="9" scale="90" fitToHeight="2" orientation="landscape" r:id="rId2"/>
  <rowBreaks count="2" manualBreakCount="2">
    <brk id="38" max="9" man="1"/>
    <brk id="65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J90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24" t="str">
        <f>VLOOKUP("&lt;Fachbereich&gt;",Uebersetzungen!$B$4:$E$304,Uebersetzungen!$B$2+1,FALSE)</f>
        <v>Daten &amp; Statistik</v>
      </c>
      <c r="B7" s="124"/>
      <c r="C7" s="124"/>
      <c r="D7" s="124"/>
      <c r="E7" s="95"/>
      <c r="F7" s="1"/>
    </row>
    <row r="8" spans="1:10" ht="10.5" customHeight="1" x14ac:dyDescent="0.2"/>
    <row r="9" spans="1:10" ht="18" x14ac:dyDescent="0.25">
      <c r="A9" s="2" t="str">
        <f>VLOOKUP("&lt;T3Titel1&gt;",Uebersetzungen!$B$4:$E$304,Uebersetzungen!$B$2+1,FALSE)</f>
        <v>Hotel- und Kurbetriebe: Logiernächte im März 2024, nach Herkunft</v>
      </c>
      <c r="B9" s="3"/>
      <c r="C9" s="3"/>
      <c r="D9" s="3"/>
      <c r="E9" s="3"/>
      <c r="F9" s="3"/>
    </row>
    <row r="10" spans="1:10" s="123" customFormat="1" x14ac:dyDescent="0.2">
      <c r="A10" s="120" t="str">
        <f>VLOOKUP("&lt;Titelprov&gt;",Uebersetzungen!$B$4:$E$304,Uebersetzungen!$B$2+1,FALSE)</f>
        <v>definitive Ergebnisse</v>
      </c>
      <c r="B10" s="121"/>
      <c r="C10" s="122"/>
      <c r="D10" s="122"/>
      <c r="E10" s="122"/>
      <c r="F10" s="122"/>
      <c r="G10" s="122"/>
    </row>
    <row r="11" spans="1:10" ht="13.5" thickBot="1" x14ac:dyDescent="0.25"/>
    <row r="12" spans="1:10" ht="51" x14ac:dyDescent="0.2">
      <c r="A12" s="8"/>
      <c r="B12" s="9"/>
      <c r="C12" s="20" t="str">
        <f>VLOOKUP("&lt;T3SpaltenTitel_1&gt;",Uebersetzungen!$B$4:$E$304,Uebersetzungen!$B$2+1,FALSE)</f>
        <v>März 2024</v>
      </c>
      <c r="D12" s="21" t="str">
        <f>VLOOKUP("&lt;T3SpaltenTitel_2&gt;",Uebersetzungen!$B$4:$E$304,Uebersetzungen!$B$2+1,FALSE)</f>
        <v>März 2023</v>
      </c>
      <c r="E12" s="22" t="str">
        <f>VLOOKUP("&lt;SpaltenTitel_3&gt;",Uebersetzungen!$B$4:$E$304,Uebersetzungen!$B$2+1,FALSE)</f>
        <v>Veränderung 24/23 in %</v>
      </c>
      <c r="F12" s="22" t="str">
        <f>VLOOKUP("&lt;SpaltenTitel_4&gt;",Uebersetzungen!$B$4:$E$304,Uebersetzungen!$B$2+1,FALSE)</f>
        <v>Veränderung zum
5-Jahresmittel 
in %</v>
      </c>
      <c r="G12" s="75" t="str">
        <f>VLOOKUP("&lt;T3SpaltenTitel_5&gt;",Uebersetzungen!$B$4:$E$304,Uebersetzungen!$B$2+1,FALSE)</f>
        <v>Januar-März 24</v>
      </c>
      <c r="H12" s="22" t="str">
        <f>VLOOKUP("&lt;T3SpaltenTitel_6&gt;",Uebersetzungen!$B$4:$E$304,Uebersetzungen!$B$2+1,FALSE)</f>
        <v>Januar-März 23</v>
      </c>
      <c r="I12" s="22" t="str">
        <f>VLOOKUP("&lt;SpaltenTitel_7&gt;",Uebersetzungen!$B$4:$E$304,Uebersetzungen!$B$2+1,FALSE)</f>
        <v>Veränderung 24/23 in %</v>
      </c>
      <c r="J12" s="23" t="str">
        <f>VLOOKUP("&lt;SpaltenTitel_8&gt;",Uebersetzungen!$B$4:$E$304,Uebersetzungen!$B$2+1,FALSE)</f>
        <v>Veränderung zum
5-Jahresmittel 
in %</v>
      </c>
    </row>
    <row r="13" spans="1:10" x14ac:dyDescent="0.2">
      <c r="A13" s="24" t="str">
        <f>VLOOKUP("&lt;Zeilentitel_1&gt;",Uebersetzungen!$B$4:$E$78,Uebersetzungen!$B$2+1,FALSE)</f>
        <v>Schweiz</v>
      </c>
      <c r="B13" s="5"/>
      <c r="C13" s="51">
        <v>373556</v>
      </c>
      <c r="D13" s="52">
        <v>355821</v>
      </c>
      <c r="E13" s="53">
        <f t="shared" ref="E13:E36" si="0">C13/D13-1</f>
        <v>4.9842476975782812E-2</v>
      </c>
      <c r="F13" s="72">
        <v>6.9768827113471765E-2</v>
      </c>
      <c r="G13" s="76">
        <v>1366543</v>
      </c>
      <c r="H13" s="52">
        <v>1341963</v>
      </c>
      <c r="I13" s="53">
        <f t="shared" ref="I13:I36" si="1">G13/H13-1</f>
        <v>1.8316451347764495E-2</v>
      </c>
      <c r="J13" s="54">
        <v>7.4445697029528191E-2</v>
      </c>
    </row>
    <row r="14" spans="1:10" x14ac:dyDescent="0.2">
      <c r="A14" s="24" t="str">
        <f>VLOOKUP("&lt;Zeilentitel_2&gt;",Uebersetzungen!$B$4:$E$78,Uebersetzungen!$B$2+1,FALSE)</f>
        <v>Deutschland</v>
      </c>
      <c r="B14" s="5"/>
      <c r="C14" s="51">
        <v>125993</v>
      </c>
      <c r="D14" s="52">
        <v>95283</v>
      </c>
      <c r="E14" s="53">
        <f t="shared" si="0"/>
        <v>0.32230303411941263</v>
      </c>
      <c r="F14" s="72">
        <v>0.31434931921268183</v>
      </c>
      <c r="G14" s="76">
        <v>348064</v>
      </c>
      <c r="H14" s="52">
        <v>302592</v>
      </c>
      <c r="I14" s="53">
        <f t="shared" si="1"/>
        <v>0.1502749576988156</v>
      </c>
      <c r="J14" s="54">
        <v>0.28660703526355458</v>
      </c>
    </row>
    <row r="15" spans="1:10" x14ac:dyDescent="0.2">
      <c r="A15" s="24" t="str">
        <f>VLOOKUP("&lt;Zeilentitel_3&gt;",Uebersetzungen!$B$4:$E$78,Uebersetzungen!$B$2+1,FALSE)</f>
        <v>Italien</v>
      </c>
      <c r="B15" s="5"/>
      <c r="C15" s="51">
        <v>10619</v>
      </c>
      <c r="D15" s="52">
        <v>8592</v>
      </c>
      <c r="E15" s="53">
        <f t="shared" si="0"/>
        <v>0.23591713221601496</v>
      </c>
      <c r="F15" s="72">
        <v>0.48775498767092573</v>
      </c>
      <c r="G15" s="76">
        <v>40982</v>
      </c>
      <c r="H15" s="52">
        <v>36600</v>
      </c>
      <c r="I15" s="53">
        <f t="shared" si="1"/>
        <v>0.11972677595628411</v>
      </c>
      <c r="J15" s="54">
        <v>0.40131439474242092</v>
      </c>
    </row>
    <row r="16" spans="1:10" x14ac:dyDescent="0.2">
      <c r="A16" s="24" t="str">
        <f>VLOOKUP("&lt;Zeilentitel_4&gt;",Uebersetzungen!$B$4:$E$78,Uebersetzungen!$B$2+1,FALSE)</f>
        <v>Frankreich</v>
      </c>
      <c r="B16" s="5"/>
      <c r="C16" s="51">
        <v>10878</v>
      </c>
      <c r="D16" s="52">
        <v>4552</v>
      </c>
      <c r="E16" s="53">
        <f t="shared" si="0"/>
        <v>1.3897188049209137</v>
      </c>
      <c r="F16" s="72">
        <v>1.0435844448619198</v>
      </c>
      <c r="G16" s="76">
        <v>28932</v>
      </c>
      <c r="H16" s="52">
        <v>20096</v>
      </c>
      <c r="I16" s="53">
        <f t="shared" si="1"/>
        <v>0.43968949044585992</v>
      </c>
      <c r="J16" s="54">
        <v>0.38783890093443607</v>
      </c>
    </row>
    <row r="17" spans="1:10" x14ac:dyDescent="0.2">
      <c r="A17" s="24" t="str">
        <f>VLOOKUP("&lt;Zeilentitel_5&gt;",Uebersetzungen!$B$4:$E$78,Uebersetzungen!$B$2+1,FALSE)</f>
        <v>Österreich</v>
      </c>
      <c r="B17" s="5"/>
      <c r="C17" s="51">
        <v>5582</v>
      </c>
      <c r="D17" s="52">
        <v>4843</v>
      </c>
      <c r="E17" s="53">
        <f t="shared" si="0"/>
        <v>0.15259136898616554</v>
      </c>
      <c r="F17" s="72">
        <v>0.24237703093701324</v>
      </c>
      <c r="G17" s="76">
        <v>14397</v>
      </c>
      <c r="H17" s="52">
        <v>14077</v>
      </c>
      <c r="I17" s="53">
        <f t="shared" si="1"/>
        <v>2.2732116217944132E-2</v>
      </c>
      <c r="J17" s="54">
        <v>0.16652352169051521</v>
      </c>
    </row>
    <row r="18" spans="1:10" x14ac:dyDescent="0.2">
      <c r="A18" s="24" t="str">
        <f>VLOOKUP("&lt;Zeilentitel_6&gt;",Uebersetzungen!$B$4:$E$78,Uebersetzungen!$B$2+1,FALSE)</f>
        <v>Niederlande</v>
      </c>
      <c r="B18" s="5"/>
      <c r="C18" s="51">
        <v>9434</v>
      </c>
      <c r="D18" s="52">
        <v>13087</v>
      </c>
      <c r="E18" s="53">
        <f t="shared" si="0"/>
        <v>-0.27913196301673415</v>
      </c>
      <c r="F18" s="72">
        <v>-1.322120413371819E-2</v>
      </c>
      <c r="G18" s="76">
        <v>39117</v>
      </c>
      <c r="H18" s="52">
        <v>38144</v>
      </c>
      <c r="I18" s="53">
        <f t="shared" si="1"/>
        <v>2.5508598993288611E-2</v>
      </c>
      <c r="J18" s="54">
        <v>0.21525900795943875</v>
      </c>
    </row>
    <row r="19" spans="1:10" x14ac:dyDescent="0.2">
      <c r="A19" s="24" t="str">
        <f>VLOOKUP("&lt;Zeilentitel_7&gt;",Uebersetzungen!$B$4:$E$78,Uebersetzungen!$B$2+1,FALSE)</f>
        <v>Belgien</v>
      </c>
      <c r="B19" s="5"/>
      <c r="C19" s="51">
        <v>6127</v>
      </c>
      <c r="D19" s="52">
        <v>6783</v>
      </c>
      <c r="E19" s="53">
        <f t="shared" si="0"/>
        <v>-9.6712369158189593E-2</v>
      </c>
      <c r="F19" s="72">
        <v>-0.11071438938721012</v>
      </c>
      <c r="G19" s="76">
        <v>24777</v>
      </c>
      <c r="H19" s="52">
        <v>25397</v>
      </c>
      <c r="I19" s="53">
        <f t="shared" si="1"/>
        <v>-2.4412332165216322E-2</v>
      </c>
      <c r="J19" s="54">
        <v>0.1729867916489134</v>
      </c>
    </row>
    <row r="20" spans="1:10" x14ac:dyDescent="0.2">
      <c r="A20" s="24" t="str">
        <f>VLOOKUP("&lt;Zeilentitel_8&gt;",Uebersetzungen!$B$4:$E$78,Uebersetzungen!$B$2+1,FALSE)</f>
        <v>Luxemburg</v>
      </c>
      <c r="B20" s="5"/>
      <c r="C20" s="51">
        <v>1189</v>
      </c>
      <c r="D20" s="52">
        <v>1051</v>
      </c>
      <c r="E20" s="53">
        <f t="shared" si="0"/>
        <v>0.1313035204567079</v>
      </c>
      <c r="F20" s="72">
        <v>5.3891154050700107E-2</v>
      </c>
      <c r="G20" s="76">
        <v>8838</v>
      </c>
      <c r="H20" s="52">
        <v>8470</v>
      </c>
      <c r="I20" s="53">
        <f t="shared" si="1"/>
        <v>4.3447461629279704E-2</v>
      </c>
      <c r="J20" s="54">
        <v>6.9121525173590159E-2</v>
      </c>
    </row>
    <row r="21" spans="1:10" x14ac:dyDescent="0.2">
      <c r="A21" s="24" t="str">
        <f>VLOOKUP("&lt;Zeilentitel_9&gt;",Uebersetzungen!$B$4:$E$78,Uebersetzungen!$B$2+1,FALSE)</f>
        <v>Vereinigtes Königreich</v>
      </c>
      <c r="B21" s="5"/>
      <c r="C21" s="51">
        <v>17606</v>
      </c>
      <c r="D21" s="52">
        <v>15226</v>
      </c>
      <c r="E21" s="53">
        <f t="shared" si="0"/>
        <v>0.15631157231052151</v>
      </c>
      <c r="F21" s="72">
        <v>0.54802518200682293</v>
      </c>
      <c r="G21" s="76">
        <v>72756</v>
      </c>
      <c r="H21" s="52">
        <v>70640</v>
      </c>
      <c r="I21" s="53">
        <f t="shared" si="1"/>
        <v>2.9954699886749703E-2</v>
      </c>
      <c r="J21" s="54">
        <v>0.29194708337032771</v>
      </c>
    </row>
    <row r="22" spans="1:10" x14ac:dyDescent="0.2">
      <c r="A22" s="24" t="str">
        <f>VLOOKUP("&lt;Zeilentitel_10&gt;",Uebersetzungen!$B$4:$E$78,Uebersetzungen!$B$2+1,FALSE)</f>
        <v>Vereinigte Staaten</v>
      </c>
      <c r="B22" s="5"/>
      <c r="C22" s="51">
        <v>13459</v>
      </c>
      <c r="D22" s="52">
        <v>10763</v>
      </c>
      <c r="E22" s="53">
        <f t="shared" si="0"/>
        <v>0.25048778221685408</v>
      </c>
      <c r="F22" s="72">
        <v>1.0842754049617493</v>
      </c>
      <c r="G22" s="76">
        <v>48993</v>
      </c>
      <c r="H22" s="52">
        <v>40890</v>
      </c>
      <c r="I22" s="53">
        <f t="shared" si="1"/>
        <v>0.1981658107116655</v>
      </c>
      <c r="J22" s="54">
        <v>0.79504935259073606</v>
      </c>
    </row>
    <row r="23" spans="1:10" x14ac:dyDescent="0.2">
      <c r="A23" s="24" t="str">
        <f>VLOOKUP("&lt;Zeilentitel_11&gt;",Uebersetzungen!$B$4:$E$78,Uebersetzungen!$B$2+1,FALSE)</f>
        <v>Polen</v>
      </c>
      <c r="B23" s="5"/>
      <c r="C23" s="51">
        <v>5074</v>
      </c>
      <c r="D23" s="52">
        <v>4603</v>
      </c>
      <c r="E23" s="53">
        <f t="shared" si="0"/>
        <v>0.10232457093200087</v>
      </c>
      <c r="F23" s="72">
        <v>-0.49910166044739279</v>
      </c>
      <c r="G23" s="76">
        <v>15905</v>
      </c>
      <c r="H23" s="52">
        <v>13737</v>
      </c>
      <c r="I23" s="53">
        <f t="shared" si="1"/>
        <v>0.15782194074397604</v>
      </c>
      <c r="J23" s="54">
        <v>-0.44114939459315117</v>
      </c>
    </row>
    <row r="24" spans="1:10" x14ac:dyDescent="0.2">
      <c r="A24" s="24" t="str">
        <f>VLOOKUP("&lt;Zeilentitel_12&gt;",Uebersetzungen!$B$4:$E$78,Uebersetzungen!$B$2+1,FALSE)</f>
        <v>Tschechien</v>
      </c>
      <c r="B24" s="5"/>
      <c r="C24" s="51">
        <v>3629</v>
      </c>
      <c r="D24" s="52">
        <v>3026</v>
      </c>
      <c r="E24" s="53">
        <f t="shared" si="0"/>
        <v>0.19927296761401192</v>
      </c>
      <c r="F24" s="72">
        <v>0.45977473853580042</v>
      </c>
      <c r="G24" s="76">
        <v>9658</v>
      </c>
      <c r="H24" s="52">
        <v>7843</v>
      </c>
      <c r="I24" s="53">
        <f t="shared" si="1"/>
        <v>0.23141654978962123</v>
      </c>
      <c r="J24" s="54">
        <v>0.33837753942518201</v>
      </c>
    </row>
    <row r="25" spans="1:10" x14ac:dyDescent="0.2">
      <c r="A25" s="24" t="str">
        <f>VLOOKUP("&lt;Zeilentitel_13&gt;",Uebersetzungen!$B$4:$E$78,Uebersetzungen!$B$2+1,FALSE)</f>
        <v>Russland</v>
      </c>
      <c r="B25" s="5"/>
      <c r="C25" s="51">
        <v>1581</v>
      </c>
      <c r="D25" s="52">
        <v>1556</v>
      </c>
      <c r="E25" s="53">
        <f t="shared" si="0"/>
        <v>1.6066838046272514E-2</v>
      </c>
      <c r="F25" s="72">
        <v>-0.3793184673366834</v>
      </c>
      <c r="G25" s="76">
        <v>5892</v>
      </c>
      <c r="H25" s="52">
        <v>6125</v>
      </c>
      <c r="I25" s="53">
        <f t="shared" si="1"/>
        <v>-3.8040816326530558E-2</v>
      </c>
      <c r="J25" s="54">
        <v>-0.57779179087365284</v>
      </c>
    </row>
    <row r="26" spans="1:10" x14ac:dyDescent="0.2">
      <c r="A26" s="24" t="str">
        <f>VLOOKUP("&lt;Zeilentitel_14&gt;",Uebersetzungen!$B$4:$E$78,Uebersetzungen!$B$2+1,FALSE)</f>
        <v>Schweden</v>
      </c>
      <c r="B26" s="5"/>
      <c r="C26" s="51">
        <v>3087</v>
      </c>
      <c r="D26" s="52">
        <v>3083</v>
      </c>
      <c r="E26" s="53">
        <f t="shared" si="0"/>
        <v>1.2974375608174604E-3</v>
      </c>
      <c r="F26" s="72">
        <v>0.23529411764705888</v>
      </c>
      <c r="G26" s="76">
        <v>8212</v>
      </c>
      <c r="H26" s="52">
        <v>7455</v>
      </c>
      <c r="I26" s="53">
        <f t="shared" si="1"/>
        <v>0.10154258886653245</v>
      </c>
      <c r="J26" s="54">
        <v>0.13359653239833258</v>
      </c>
    </row>
    <row r="27" spans="1:10" x14ac:dyDescent="0.2">
      <c r="A27" s="24" t="str">
        <f>VLOOKUP("&lt;Zeilentitel_15&gt;",Uebersetzungen!$B$4:$E$78,Uebersetzungen!$B$2+1,FALSE)</f>
        <v>Norwegen</v>
      </c>
      <c r="B27" s="5"/>
      <c r="C27" s="51">
        <v>944</v>
      </c>
      <c r="D27" s="52">
        <v>1467</v>
      </c>
      <c r="E27" s="53">
        <f t="shared" si="0"/>
        <v>-0.35650988411724605</v>
      </c>
      <c r="F27" s="72">
        <v>-0.18240083145678154</v>
      </c>
      <c r="G27" s="76">
        <v>2653</v>
      </c>
      <c r="H27" s="52">
        <v>3182</v>
      </c>
      <c r="I27" s="53">
        <f t="shared" si="1"/>
        <v>-0.16624764299182904</v>
      </c>
      <c r="J27" s="54">
        <v>-8.3339091977057467E-2</v>
      </c>
    </row>
    <row r="28" spans="1:10" x14ac:dyDescent="0.2">
      <c r="A28" s="24" t="str">
        <f>VLOOKUP("&lt;Zeilentitel_16&gt;",Uebersetzungen!$B$4:$E$78,Uebersetzungen!$B$2+1,FALSE)</f>
        <v>Dänemark</v>
      </c>
      <c r="B28" s="5"/>
      <c r="C28" s="51">
        <v>1430</v>
      </c>
      <c r="D28" s="52">
        <v>889</v>
      </c>
      <c r="E28" s="53">
        <f t="shared" si="0"/>
        <v>0.60854893138357702</v>
      </c>
      <c r="F28" s="72">
        <v>0.3816425120772946</v>
      </c>
      <c r="G28" s="76">
        <v>4970</v>
      </c>
      <c r="H28" s="52">
        <v>4578</v>
      </c>
      <c r="I28" s="53">
        <f t="shared" si="1"/>
        <v>8.5626911314984788E-2</v>
      </c>
      <c r="J28" s="54">
        <v>-6.1626765350049073E-2</v>
      </c>
    </row>
    <row r="29" spans="1:10" x14ac:dyDescent="0.2">
      <c r="A29" s="24" t="str">
        <f>VLOOKUP("&lt;Zeilentitel_17&gt;",Uebersetzungen!$B$4:$E$78,Uebersetzungen!$B$2+1,FALSE)</f>
        <v>Finnland</v>
      </c>
      <c r="B29" s="5"/>
      <c r="C29" s="51">
        <v>1023</v>
      </c>
      <c r="D29" s="52">
        <v>1077</v>
      </c>
      <c r="E29" s="53">
        <f t="shared" si="0"/>
        <v>-5.0139275766016733E-2</v>
      </c>
      <c r="F29" s="72">
        <v>0.10570687418936431</v>
      </c>
      <c r="G29" s="76">
        <v>3016</v>
      </c>
      <c r="H29" s="52">
        <v>3189</v>
      </c>
      <c r="I29" s="53">
        <f t="shared" si="1"/>
        <v>-5.4248980871746677E-2</v>
      </c>
      <c r="J29" s="54">
        <v>1.9194376858610473E-2</v>
      </c>
    </row>
    <row r="30" spans="1:10" x14ac:dyDescent="0.2">
      <c r="A30" s="24" t="str">
        <f>VLOOKUP("&lt;Zeilentitel_18&gt;",Uebersetzungen!$B$4:$E$78,Uebersetzungen!$B$2+1,FALSE)</f>
        <v>Japan</v>
      </c>
      <c r="B30" s="5"/>
      <c r="C30" s="51">
        <v>539</v>
      </c>
      <c r="D30" s="52">
        <v>326</v>
      </c>
      <c r="E30" s="53">
        <f t="shared" si="0"/>
        <v>0.65337423312883436</v>
      </c>
      <c r="F30" s="72">
        <v>1.9198266522210186</v>
      </c>
      <c r="G30" s="76">
        <v>2108</v>
      </c>
      <c r="H30" s="52">
        <v>1742</v>
      </c>
      <c r="I30" s="53">
        <f t="shared" si="1"/>
        <v>0.21010332950631461</v>
      </c>
      <c r="J30" s="54">
        <v>0.54364381956649099</v>
      </c>
    </row>
    <row r="31" spans="1:10" x14ac:dyDescent="0.2">
      <c r="A31" s="24" t="str">
        <f>VLOOKUP("&lt;Zeilentitel_19&gt;",Uebersetzungen!$B$4:$E$78,Uebersetzungen!$B$2+1,FALSE)</f>
        <v>China / Hongkong / Taiwan (Chin. Taipei)</v>
      </c>
      <c r="B31" s="5"/>
      <c r="C31" s="51">
        <v>1396</v>
      </c>
      <c r="D31" s="52">
        <v>977</v>
      </c>
      <c r="E31" s="53">
        <f t="shared" si="0"/>
        <v>0.42886386898669393</v>
      </c>
      <c r="F31" s="72">
        <v>0.47133220910623952</v>
      </c>
      <c r="G31" s="76">
        <v>5924</v>
      </c>
      <c r="H31" s="52">
        <v>4215</v>
      </c>
      <c r="I31" s="53">
        <f t="shared" si="1"/>
        <v>0.40545670225385533</v>
      </c>
      <c r="J31" s="54">
        <v>0.23339579429523205</v>
      </c>
    </row>
    <row r="32" spans="1:10" x14ac:dyDescent="0.2">
      <c r="A32" s="24" t="str">
        <f>VLOOKUP("&lt;Zeilentitel_20&gt;",Uebersetzungen!$B$4:$E$78,Uebersetzungen!$B$2+1,FALSE)</f>
        <v xml:space="preserve">Indien </v>
      </c>
      <c r="B32" s="5"/>
      <c r="C32" s="59">
        <v>947</v>
      </c>
      <c r="D32" s="52">
        <v>862</v>
      </c>
      <c r="E32" s="53">
        <f t="shared" si="0"/>
        <v>9.8607888631090379E-2</v>
      </c>
      <c r="F32" s="72">
        <v>0.84097978227060666</v>
      </c>
      <c r="G32" s="77">
        <v>2722</v>
      </c>
      <c r="H32" s="52">
        <v>2161</v>
      </c>
      <c r="I32" s="53">
        <f t="shared" si="1"/>
        <v>0.25960203609440069</v>
      </c>
      <c r="J32" s="54">
        <v>0.10966163880962077</v>
      </c>
    </row>
    <row r="33" spans="1:10" x14ac:dyDescent="0.2">
      <c r="A33" s="24" t="str">
        <f>VLOOKUP("&lt;Zeilentitel_21&gt;",Uebersetzungen!$B$4:$E$78,Uebersetzungen!$B$2+1,FALSE)</f>
        <v>Brasilien</v>
      </c>
      <c r="B33" s="5"/>
      <c r="C33" s="51">
        <v>2159</v>
      </c>
      <c r="D33" s="52">
        <v>1673</v>
      </c>
      <c r="E33" s="53">
        <f t="shared" si="0"/>
        <v>0.29049611476389714</v>
      </c>
      <c r="F33" s="72">
        <v>0.42734364670104474</v>
      </c>
      <c r="G33" s="76">
        <v>17684</v>
      </c>
      <c r="H33" s="52">
        <v>13611</v>
      </c>
      <c r="I33" s="53">
        <f t="shared" si="1"/>
        <v>0.29924325912864602</v>
      </c>
      <c r="J33" s="54">
        <v>0.75638631758770014</v>
      </c>
    </row>
    <row r="34" spans="1:10" x14ac:dyDescent="0.2">
      <c r="A34" s="24" t="str">
        <f>VLOOKUP("&lt;Zeilentitel_22&gt;",Uebersetzungen!$B$4:$E$78,Uebersetzungen!$B$2+1,FALSE)</f>
        <v>Golfstaaten</v>
      </c>
      <c r="B34" s="5"/>
      <c r="C34" s="59">
        <v>1438</v>
      </c>
      <c r="D34" s="55">
        <v>2528</v>
      </c>
      <c r="E34" s="53">
        <f t="shared" si="0"/>
        <v>-0.43117088607594933</v>
      </c>
      <c r="F34" s="72">
        <v>0.376603484587402</v>
      </c>
      <c r="G34" s="77">
        <v>11878</v>
      </c>
      <c r="H34" s="55">
        <v>8200</v>
      </c>
      <c r="I34" s="53">
        <f t="shared" si="1"/>
        <v>0.44853658536585361</v>
      </c>
      <c r="J34" s="54">
        <v>1.4789214458635946</v>
      </c>
    </row>
    <row r="35" spans="1:10" x14ac:dyDescent="0.2">
      <c r="A35" s="24" t="str">
        <f>VLOOKUP("&lt;Zeilentitel_23&gt;",Uebersetzungen!$B$4:$E$78,Uebersetzungen!$B$2+1,FALSE)</f>
        <v>Übrige Herkunftsländer</v>
      </c>
      <c r="B35" s="5"/>
      <c r="C35" s="56">
        <f>C36-SUM(C13:C34)</f>
        <v>24421</v>
      </c>
      <c r="D35" s="57">
        <f>D36-SUM(D13:D34)</f>
        <v>20841</v>
      </c>
      <c r="E35" s="53">
        <f t="shared" si="0"/>
        <v>0.17177678614269953</v>
      </c>
      <c r="F35" s="73" t="s">
        <v>50</v>
      </c>
      <c r="G35" s="78">
        <f>G36-SUM(G13:G34)</f>
        <v>98797</v>
      </c>
      <c r="H35" s="57">
        <f>H36-SUM(H13:H34)</f>
        <v>89715</v>
      </c>
      <c r="I35" s="53">
        <f t="shared" si="1"/>
        <v>0.10123167809173483</v>
      </c>
      <c r="J35" s="58" t="s">
        <v>50</v>
      </c>
    </row>
    <row r="36" spans="1:10" ht="13.5" thickBot="1" x14ac:dyDescent="0.25">
      <c r="A36" s="26" t="str">
        <f>VLOOKUP("&lt;Zeilentitel_24&gt;",Uebersetzungen!$B$4:$E$78,Uebersetzungen!$B$2+1,FALSE)</f>
        <v>Graubünden</v>
      </c>
      <c r="B36" s="25"/>
      <c r="C36" s="30">
        <f>C61</f>
        <v>622111</v>
      </c>
      <c r="D36" s="19">
        <f>D61</f>
        <v>558909</v>
      </c>
      <c r="E36" s="12">
        <f t="shared" si="0"/>
        <v>0.11308102034499345</v>
      </c>
      <c r="F36" s="74">
        <f>F61</f>
        <v>0.15702705286372631</v>
      </c>
      <c r="G36" s="79">
        <f t="shared" ref="G36:H36" si="2">G61</f>
        <v>2182818</v>
      </c>
      <c r="H36" s="19">
        <f t="shared" si="2"/>
        <v>2064622</v>
      </c>
      <c r="I36" s="12">
        <f t="shared" si="1"/>
        <v>5.7248251738090561E-2</v>
      </c>
      <c r="J36" s="47">
        <f>J61</f>
        <v>0.1447947877337834</v>
      </c>
    </row>
    <row r="37" spans="1:10" x14ac:dyDescent="0.2">
      <c r="C37" s="15"/>
      <c r="D37" s="16"/>
      <c r="E37" s="28"/>
      <c r="F37" s="27"/>
      <c r="I37" s="15"/>
      <c r="J37" s="15"/>
    </row>
    <row r="38" spans="1:10" x14ac:dyDescent="0.2">
      <c r="C38" s="15"/>
    </row>
    <row r="39" spans="1:10" ht="18" x14ac:dyDescent="0.25">
      <c r="A39" s="2" t="str">
        <f>VLOOKUP("&lt;T3Titel2&gt;",Uebersetzungen!$B$4:$E$304,Uebersetzungen!$B$2+1,FALSE)</f>
        <v>Hotel- und Kurbetriebe: Logiernächte im März 2024, nach Destinationen</v>
      </c>
      <c r="B39" s="3"/>
      <c r="C39" s="3"/>
      <c r="D39" s="3"/>
      <c r="E39" s="3"/>
      <c r="F39" s="3"/>
    </row>
    <row r="40" spans="1:10" s="123" customFormat="1" x14ac:dyDescent="0.2">
      <c r="A40" s="120" t="str">
        <f>VLOOKUP("&lt;Titelprov&gt;",Uebersetzungen!$B$4:$E$304,Uebersetzungen!$B$2+1,FALSE)</f>
        <v>definitive Ergebnisse</v>
      </c>
      <c r="B40" s="121"/>
      <c r="C40" s="122"/>
      <c r="D40" s="122"/>
      <c r="E40" s="122"/>
      <c r="F40" s="122"/>
      <c r="G40" s="122"/>
    </row>
    <row r="41" spans="1:10" ht="13.5" thickBot="1" x14ac:dyDescent="0.25"/>
    <row r="42" spans="1:10" ht="51" x14ac:dyDescent="0.2">
      <c r="A42" s="8"/>
      <c r="B42" s="9"/>
      <c r="C42" s="20" t="str">
        <f>VLOOKUP("&lt;T3SpaltenTitel_1&gt;",Uebersetzungen!$B$4:$E$304,Uebersetzungen!$B$2+1,FALSE)</f>
        <v>März 2024</v>
      </c>
      <c r="D42" s="21" t="str">
        <f>VLOOKUP("&lt;T3SpaltenTitel_2&gt;",Uebersetzungen!$B$4:$E$304,Uebersetzungen!$B$2+1,FALSE)</f>
        <v>März 2023</v>
      </c>
      <c r="E42" s="22" t="str">
        <f>VLOOKUP("&lt;SpaltenTitel_3&gt;",Uebersetzungen!$B$4:$E$304,Uebersetzungen!$B$2+1,FALSE)</f>
        <v>Veränderung 24/23 in %</v>
      </c>
      <c r="F42" s="22" t="str">
        <f>VLOOKUP("&lt;SpaltenTitel_4&gt;",Uebersetzungen!$B$4:$E$304,Uebersetzungen!$B$2+1,FALSE)</f>
        <v>Veränderung zum
5-Jahresmittel 
in %</v>
      </c>
      <c r="G42" s="75" t="str">
        <f>VLOOKUP("&lt;T3SpaltenTitel_5&gt;",Uebersetzungen!$B$4:$E$304,Uebersetzungen!$B$2+1,FALSE)</f>
        <v>Januar-März 24</v>
      </c>
      <c r="H42" s="22" t="str">
        <f>VLOOKUP("&lt;T3SpaltenTitel_6&gt;",Uebersetzungen!$B$4:$E$304,Uebersetzungen!$B$2+1,FALSE)</f>
        <v>Januar-März 23</v>
      </c>
      <c r="I42" s="22" t="str">
        <f>VLOOKUP("&lt;SpaltenTitel_7&gt;",Uebersetzungen!$B$4:$E$304,Uebersetzungen!$B$2+1,FALSE)</f>
        <v>Veränderung 24/23 in %</v>
      </c>
      <c r="J42" s="23" t="str">
        <f>VLOOKUP("&lt;SpaltenTitel_8&gt;",Uebersetzungen!$B$4:$E$304,Uebersetzungen!$B$2+1,FALSE)</f>
        <v>Veränderung zum
5-Jahresmittel 
in %</v>
      </c>
    </row>
    <row r="43" spans="1:10" x14ac:dyDescent="0.2">
      <c r="A43" s="24" t="str">
        <f>VLOOKUP("&lt;Zeilentitel_25&gt;",Uebersetzungen!$B$4:$E$78,Uebersetzungen!$B$2+1,FALSE)</f>
        <v>Arosa</v>
      </c>
      <c r="B43" s="5"/>
      <c r="C43" s="13">
        <v>66184</v>
      </c>
      <c r="D43" s="17">
        <v>58805</v>
      </c>
      <c r="E43" s="10">
        <f>C43/D43-1</f>
        <v>0.12548252699600382</v>
      </c>
      <c r="F43" s="80">
        <v>0.22662001171316093</v>
      </c>
      <c r="G43" s="83">
        <v>223703</v>
      </c>
      <c r="H43" s="17">
        <v>211603</v>
      </c>
      <c r="I43" s="10">
        <f>G43/H43-1</f>
        <v>5.7182554122578555E-2</v>
      </c>
      <c r="J43" s="44">
        <v>0.18405605480142317</v>
      </c>
    </row>
    <row r="44" spans="1:10" x14ac:dyDescent="0.2">
      <c r="A44" s="24" t="str">
        <f>VLOOKUP("&lt;Zeilentitel_26&gt;",Uebersetzungen!$B$4:$E$78,Uebersetzungen!$B$2+1,FALSE)</f>
        <v>Bergün Filisur</v>
      </c>
      <c r="B44" s="5"/>
      <c r="C44" s="13">
        <v>4523</v>
      </c>
      <c r="D44" s="17">
        <v>4147</v>
      </c>
      <c r="E44" s="10">
        <f t="shared" ref="E44:E61" si="3">C44/D44-1</f>
        <v>9.06679527369183E-2</v>
      </c>
      <c r="F44" s="80">
        <v>7.5368521160247282E-2</v>
      </c>
      <c r="G44" s="83">
        <v>20136</v>
      </c>
      <c r="H44" s="17">
        <v>22107</v>
      </c>
      <c r="I44" s="10">
        <f t="shared" ref="I44:I61" si="4">G44/H44-1</f>
        <v>-8.9157280499389313E-2</v>
      </c>
      <c r="J44" s="44">
        <v>-1.6854481182743242E-2</v>
      </c>
    </row>
    <row r="45" spans="1:10" x14ac:dyDescent="0.2">
      <c r="A45" s="24" t="str">
        <f>VLOOKUP("&lt;Zeilentitel_27&gt;",Uebersetzungen!$B$4:$E$78,Uebersetzungen!$B$2+1,FALSE)</f>
        <v>Bregaglia Engadin</v>
      </c>
      <c r="B45" s="5"/>
      <c r="C45" s="13">
        <v>4032</v>
      </c>
      <c r="D45" s="17">
        <v>3443</v>
      </c>
      <c r="E45" s="10">
        <f t="shared" si="3"/>
        <v>0.17107173976183554</v>
      </c>
      <c r="F45" s="80">
        <v>-2.1549213744903928E-2</v>
      </c>
      <c r="G45" s="83">
        <v>15845</v>
      </c>
      <c r="H45" s="17">
        <v>13892</v>
      </c>
      <c r="I45" s="10">
        <f t="shared" si="4"/>
        <v>0.14058450906996822</v>
      </c>
      <c r="J45" s="44">
        <v>0.13390774163076613</v>
      </c>
    </row>
    <row r="46" spans="1:10" x14ac:dyDescent="0.2">
      <c r="A46" s="24" t="str">
        <f>VLOOKUP("&lt;Zeilentitel_28&gt;",Uebersetzungen!$B$4:$E$78,Uebersetzungen!$B$2+1,FALSE)</f>
        <v>Bündner Herrschaft</v>
      </c>
      <c r="B46" s="5"/>
      <c r="C46" s="13">
        <v>4021</v>
      </c>
      <c r="D46" s="17">
        <v>3950</v>
      </c>
      <c r="E46" s="10">
        <f t="shared" si="3"/>
        <v>1.797468354430376E-2</v>
      </c>
      <c r="F46" s="80">
        <v>0.35560649989886062</v>
      </c>
      <c r="G46" s="83">
        <v>12059</v>
      </c>
      <c r="H46" s="17">
        <v>10842</v>
      </c>
      <c r="I46" s="10">
        <f t="shared" si="4"/>
        <v>0.11224866260837474</v>
      </c>
      <c r="J46" s="44">
        <v>0.38316663608001456</v>
      </c>
    </row>
    <row r="47" spans="1:10" x14ac:dyDescent="0.2">
      <c r="A47" s="24" t="str">
        <f>VLOOKUP("&lt;Zeilentitel_29&gt;",Uebersetzungen!$B$4:$E$78,Uebersetzungen!$B$2+1,FALSE)</f>
        <v>Chur</v>
      </c>
      <c r="B47" s="5"/>
      <c r="C47" s="13">
        <v>18582</v>
      </c>
      <c r="D47" s="17">
        <v>16232</v>
      </c>
      <c r="E47" s="10">
        <f t="shared" si="3"/>
        <v>0.14477575160177425</v>
      </c>
      <c r="F47" s="80">
        <v>0.51230548863858316</v>
      </c>
      <c r="G47" s="83">
        <v>56127</v>
      </c>
      <c r="H47" s="17">
        <v>47697</v>
      </c>
      <c r="I47" s="10">
        <f t="shared" si="4"/>
        <v>0.17674067551418338</v>
      </c>
      <c r="J47" s="44">
        <v>0.42525939431490967</v>
      </c>
    </row>
    <row r="48" spans="1:10" x14ac:dyDescent="0.2">
      <c r="A48" s="24" t="str">
        <f>VLOOKUP("&lt;Zeilentitel_30&gt;",Uebersetzungen!$B$4:$E$78,Uebersetzungen!$B$2+1,FALSE)</f>
        <v>Davos Klosters</v>
      </c>
      <c r="B48" s="5"/>
      <c r="C48" s="13">
        <v>115189</v>
      </c>
      <c r="D48" s="17">
        <v>99717</v>
      </c>
      <c r="E48" s="10">
        <f t="shared" si="3"/>
        <v>0.15515910025371804</v>
      </c>
      <c r="F48" s="80">
        <v>0.16607648653518714</v>
      </c>
      <c r="G48" s="83">
        <v>399184</v>
      </c>
      <c r="H48" s="17">
        <v>377852</v>
      </c>
      <c r="I48" s="10">
        <f t="shared" si="4"/>
        <v>5.6455966886505893E-2</v>
      </c>
      <c r="J48" s="44">
        <v>9.8761476627261757E-2</v>
      </c>
    </row>
    <row r="49" spans="1:10" x14ac:dyDescent="0.2">
      <c r="A49" s="24" t="str">
        <f>VLOOKUP("&lt;Zeilentitel_31&gt;",Uebersetzungen!$B$4:$E$78,Uebersetzungen!$B$2+1,FALSE)</f>
        <v>Disentis Sedrun</v>
      </c>
      <c r="B49" s="5"/>
      <c r="C49" s="13">
        <v>14595</v>
      </c>
      <c r="D49" s="17">
        <v>15767</v>
      </c>
      <c r="E49" s="10">
        <f t="shared" si="3"/>
        <v>-7.4332466544047682E-2</v>
      </c>
      <c r="F49" s="80">
        <v>5.6689834926151095E-2</v>
      </c>
      <c r="G49" s="83">
        <v>63341</v>
      </c>
      <c r="H49" s="17">
        <v>62045</v>
      </c>
      <c r="I49" s="10">
        <f t="shared" si="4"/>
        <v>2.0888065114030185E-2</v>
      </c>
      <c r="J49" s="44">
        <v>0.30070599251705432</v>
      </c>
    </row>
    <row r="50" spans="1:10" x14ac:dyDescent="0.2">
      <c r="A50" s="24" t="str">
        <f>VLOOKUP("&lt;Zeilentitel_32&gt;",Uebersetzungen!$B$4:$E$78,Uebersetzungen!$B$2+1,FALSE)</f>
        <v>Scuol Samnaun Val Müstair</v>
      </c>
      <c r="B50" s="5"/>
      <c r="C50" s="13">
        <v>56144</v>
      </c>
      <c r="D50" s="17">
        <v>51472</v>
      </c>
      <c r="E50" s="10">
        <f t="shared" si="3"/>
        <v>9.0767796083307539E-2</v>
      </c>
      <c r="F50" s="80">
        <v>0.10557988594473677</v>
      </c>
      <c r="G50" s="83">
        <v>201084</v>
      </c>
      <c r="H50" s="17">
        <v>188861</v>
      </c>
      <c r="I50" s="10">
        <f t="shared" si="4"/>
        <v>6.471955565204035E-2</v>
      </c>
      <c r="J50" s="44">
        <v>0.13711111211642768</v>
      </c>
    </row>
    <row r="51" spans="1:10" x14ac:dyDescent="0.2">
      <c r="A51" s="24" t="str">
        <f>VLOOKUP("&lt;Zeilentitel_33&gt;",Uebersetzungen!$B$4:$E$78,Uebersetzungen!$B$2+1,FALSE)</f>
        <v>Engadin St. Moritz</v>
      </c>
      <c r="B51" s="5"/>
      <c r="C51" s="13">
        <v>191344</v>
      </c>
      <c r="D51" s="17">
        <v>170078</v>
      </c>
      <c r="E51" s="10">
        <f t="shared" si="3"/>
        <v>0.12503674784510643</v>
      </c>
      <c r="F51" s="80">
        <v>0.20378327572691646</v>
      </c>
      <c r="G51" s="83">
        <v>662534</v>
      </c>
      <c r="H51" s="17">
        <v>619261</v>
      </c>
      <c r="I51" s="10">
        <f t="shared" si="4"/>
        <v>6.987845189669617E-2</v>
      </c>
      <c r="J51" s="44">
        <v>0.1885791745064016</v>
      </c>
    </row>
    <row r="52" spans="1:10" x14ac:dyDescent="0.2">
      <c r="A52" s="24" t="str">
        <f>VLOOKUP("&lt;Zeilentitel_34&gt;",Uebersetzungen!$B$4:$E$78,Uebersetzungen!$B$2+1,FALSE)</f>
        <v>Flims Laax</v>
      </c>
      <c r="B52" s="5"/>
      <c r="C52" s="13">
        <v>62777</v>
      </c>
      <c r="D52" s="17">
        <v>57129</v>
      </c>
      <c r="E52" s="10">
        <f t="shared" si="3"/>
        <v>9.8863974513819564E-2</v>
      </c>
      <c r="F52" s="80">
        <v>6.260854257577253E-2</v>
      </c>
      <c r="G52" s="83">
        <v>210448</v>
      </c>
      <c r="H52" s="17">
        <v>208086</v>
      </c>
      <c r="I52" s="10">
        <f t="shared" si="4"/>
        <v>1.1351075997424243E-2</v>
      </c>
      <c r="J52" s="44">
        <v>4.1290826954572646E-2</v>
      </c>
    </row>
    <row r="53" spans="1:10" x14ac:dyDescent="0.2">
      <c r="A53" s="24" t="str">
        <f>VLOOKUP("&lt;Zeilentitel_35&gt;",Uebersetzungen!$B$4:$E$78,Uebersetzungen!$B$2+1,FALSE)</f>
        <v>Lenzerheide</v>
      </c>
      <c r="B53" s="5"/>
      <c r="C53" s="13">
        <v>38088</v>
      </c>
      <c r="D53" s="17">
        <v>35527</v>
      </c>
      <c r="E53" s="10">
        <f t="shared" si="3"/>
        <v>7.2086019084076858E-2</v>
      </c>
      <c r="F53" s="80">
        <v>5.191060637863032E-2</v>
      </c>
      <c r="G53" s="83">
        <v>141430</v>
      </c>
      <c r="H53" s="17">
        <v>137114</v>
      </c>
      <c r="I53" s="10">
        <f t="shared" si="4"/>
        <v>3.147745671485036E-2</v>
      </c>
      <c r="J53" s="44">
        <v>6.099820703831238E-2</v>
      </c>
    </row>
    <row r="54" spans="1:10" x14ac:dyDescent="0.2">
      <c r="A54" s="24" t="str">
        <f>VLOOKUP("&lt;Zeilentitel_36&gt;",Uebersetzungen!$B$4:$E$78,Uebersetzungen!$B$2+1,FALSE)</f>
        <v>Prättigau</v>
      </c>
      <c r="B54" s="5"/>
      <c r="C54" s="13">
        <v>8252</v>
      </c>
      <c r="D54" s="17">
        <v>9741</v>
      </c>
      <c r="E54" s="10">
        <f t="shared" si="3"/>
        <v>-0.15285904937891381</v>
      </c>
      <c r="F54" s="80">
        <v>0.13538800220143088</v>
      </c>
      <c r="G54" s="83">
        <v>31526</v>
      </c>
      <c r="H54" s="17">
        <v>33272</v>
      </c>
      <c r="I54" s="10">
        <f t="shared" si="4"/>
        <v>-5.247655686463093E-2</v>
      </c>
      <c r="J54" s="44">
        <v>0.22894966631322888</v>
      </c>
    </row>
    <row r="55" spans="1:10" x14ac:dyDescent="0.2">
      <c r="A55" s="24" t="str">
        <f>VLOOKUP("&lt;Zeilentitel_37&gt;",Uebersetzungen!$B$4:$E$78,Uebersetzungen!$B$2+1,FALSE)</f>
        <v>San Bernardino, Mesolcina/Calanca</v>
      </c>
      <c r="B55" s="5"/>
      <c r="C55" s="13">
        <v>2076</v>
      </c>
      <c r="D55" s="17">
        <v>1059</v>
      </c>
      <c r="E55" s="10">
        <f t="shared" si="3"/>
        <v>0.96033994334277617</v>
      </c>
      <c r="F55" s="80">
        <v>0.37228979375991544</v>
      </c>
      <c r="G55" s="83">
        <v>6999</v>
      </c>
      <c r="H55" s="17">
        <v>5556</v>
      </c>
      <c r="I55" s="10">
        <f t="shared" si="4"/>
        <v>0.25971922246220291</v>
      </c>
      <c r="J55" s="44">
        <v>0.17484137375365072</v>
      </c>
    </row>
    <row r="56" spans="1:10" x14ac:dyDescent="0.2">
      <c r="A56" s="24" t="str">
        <f>VLOOKUP("&lt;Zeilentitel_38&gt;",Uebersetzungen!$B$4:$E$78,Uebersetzungen!$B$2+1,FALSE)</f>
        <v>Val Surses</v>
      </c>
      <c r="B56" s="5"/>
      <c r="C56" s="13">
        <v>10353</v>
      </c>
      <c r="D56" s="17">
        <v>8042</v>
      </c>
      <c r="E56" s="10">
        <f t="shared" si="3"/>
        <v>0.28736632678438201</v>
      </c>
      <c r="F56" s="80">
        <v>0.22957244655581954</v>
      </c>
      <c r="G56" s="83">
        <v>38781</v>
      </c>
      <c r="H56" s="17">
        <v>34384</v>
      </c>
      <c r="I56" s="10">
        <f t="shared" si="4"/>
        <v>0.12787924616100521</v>
      </c>
      <c r="J56" s="44">
        <v>0.28261861766515173</v>
      </c>
    </row>
    <row r="57" spans="1:10" x14ac:dyDescent="0.2">
      <c r="A57" s="24" t="str">
        <f>VLOOKUP("&lt;Zeilentitel_39&gt;",Uebersetzungen!$B$4:$E$78,Uebersetzungen!$B$2+1,FALSE)</f>
        <v>Surselva</v>
      </c>
      <c r="B57" s="5"/>
      <c r="C57" s="13">
        <v>9108</v>
      </c>
      <c r="D57" s="17">
        <v>9430</v>
      </c>
      <c r="E57" s="10">
        <f t="shared" si="3"/>
        <v>-3.4146341463414664E-2</v>
      </c>
      <c r="F57" s="80">
        <v>-0.13502630629261714</v>
      </c>
      <c r="G57" s="83">
        <v>40046</v>
      </c>
      <c r="H57" s="17">
        <v>38613</v>
      </c>
      <c r="I57" s="10">
        <f t="shared" si="4"/>
        <v>3.7111853520835014E-2</v>
      </c>
      <c r="J57" s="44">
        <v>-6.065961122252328E-3</v>
      </c>
    </row>
    <row r="58" spans="1:10" x14ac:dyDescent="0.2">
      <c r="A58" s="24" t="str">
        <f>VLOOKUP("&lt;Zeilentitel_40&gt;",Uebersetzungen!$B$4:$E$78,Uebersetzungen!$B$2+1,FALSE)</f>
        <v>Valposchiavo</v>
      </c>
      <c r="B58" s="5"/>
      <c r="C58" s="13">
        <v>3007</v>
      </c>
      <c r="D58" s="17">
        <v>2207</v>
      </c>
      <c r="E58" s="10">
        <f t="shared" si="3"/>
        <v>0.36248300860897142</v>
      </c>
      <c r="F58" s="80">
        <v>0.65474356152322244</v>
      </c>
      <c r="G58" s="83">
        <v>9525</v>
      </c>
      <c r="H58" s="17">
        <v>7967</v>
      </c>
      <c r="I58" s="10">
        <f t="shared" si="4"/>
        <v>0.19555667126898446</v>
      </c>
      <c r="J58" s="44">
        <v>0.52132247244849061</v>
      </c>
    </row>
    <row r="59" spans="1:10" x14ac:dyDescent="0.2">
      <c r="A59" s="24" t="str">
        <f>VLOOKUP("&lt;Zeilentitel_41&gt;",Uebersetzungen!$B$4:$E$78,Uebersetzungen!$B$2+1,FALSE)</f>
        <v>Vals</v>
      </c>
      <c r="B59" s="5"/>
      <c r="C59" s="13">
        <v>6310</v>
      </c>
      <c r="D59" s="17">
        <v>6001</v>
      </c>
      <c r="E59" s="10">
        <f t="shared" si="3"/>
        <v>5.1491418096983876E-2</v>
      </c>
      <c r="F59" s="80">
        <v>1.0278907425790074E-2</v>
      </c>
      <c r="G59" s="83">
        <v>23488</v>
      </c>
      <c r="H59" s="17">
        <v>22601</v>
      </c>
      <c r="I59" s="10">
        <f t="shared" si="4"/>
        <v>3.9246051059687703E-2</v>
      </c>
      <c r="J59" s="44">
        <v>6.0875692179835683E-2</v>
      </c>
    </row>
    <row r="60" spans="1:10" x14ac:dyDescent="0.2">
      <c r="A60" s="24" t="str">
        <f>VLOOKUP("&lt;Zeilentitel_42&gt;",Uebersetzungen!$B$4:$E$78,Uebersetzungen!$B$2+1,FALSE)</f>
        <v>Viamala</v>
      </c>
      <c r="B60" s="7"/>
      <c r="C60" s="14">
        <v>7526</v>
      </c>
      <c r="D60" s="18">
        <v>6162</v>
      </c>
      <c r="E60" s="11">
        <f t="shared" si="3"/>
        <v>0.22135670236936056</v>
      </c>
      <c r="F60" s="81">
        <v>0.1176453117110694</v>
      </c>
      <c r="G60" s="84">
        <v>26562</v>
      </c>
      <c r="H60" s="18">
        <v>22869</v>
      </c>
      <c r="I60" s="11">
        <f t="shared" si="4"/>
        <v>0.16148497966679787</v>
      </c>
      <c r="J60" s="46">
        <v>0.1521145087833442</v>
      </c>
    </row>
    <row r="61" spans="1:10" ht="13.5" thickBot="1" x14ac:dyDescent="0.25">
      <c r="A61" s="26" t="str">
        <f>VLOOKUP("&lt;Zeilentitel_43&gt;",Uebersetzungen!$B$4:$E$78,Uebersetzungen!$B$2+1,FALSE)</f>
        <v>Graubünden</v>
      </c>
      <c r="B61" s="6"/>
      <c r="C61" s="30">
        <v>622111</v>
      </c>
      <c r="D61" s="40">
        <v>558909</v>
      </c>
      <c r="E61" s="65">
        <f t="shared" si="3"/>
        <v>0.11308102034499345</v>
      </c>
      <c r="F61" s="82">
        <v>0.15702705286372631</v>
      </c>
      <c r="G61" s="79">
        <v>2182818</v>
      </c>
      <c r="H61" s="40">
        <v>2064622</v>
      </c>
      <c r="I61" s="65">
        <f t="shared" si="4"/>
        <v>5.7248251738090561E-2</v>
      </c>
      <c r="J61" s="66">
        <v>0.1447947877337834</v>
      </c>
    </row>
    <row r="63" spans="1:10" x14ac:dyDescent="0.2">
      <c r="A63" s="4" t="str">
        <f>VLOOKUP("&lt;Legende_1&gt;",Uebersetzungen!$B$4:$E$80,Uebersetzungen!$B$2+1,FALSE)</f>
        <v>Aktuelle Zuordnung der politischen Gemeinden zu Destinationen:</v>
      </c>
      <c r="E63" s="67" t="s">
        <v>214</v>
      </c>
      <c r="F63" s="49"/>
    </row>
    <row r="65" spans="1:10" ht="10.5" customHeight="1" x14ac:dyDescent="0.2"/>
    <row r="66" spans="1:10" ht="18" x14ac:dyDescent="0.25">
      <c r="A66" s="2" t="str">
        <f>VLOOKUP("&lt;T3Titel3&gt;",Uebersetzungen!$B$4:$E$304,Uebersetzungen!$B$2+1,FALSE)</f>
        <v>Hotel- und Kurbetriebe: Logiernächte im März 2024, nach Schweizer Tourismusregionen</v>
      </c>
      <c r="B66" s="3"/>
      <c r="C66" s="3"/>
      <c r="D66" s="3"/>
      <c r="E66" s="3"/>
      <c r="F66" s="3"/>
    </row>
    <row r="67" spans="1:10" s="123" customFormat="1" x14ac:dyDescent="0.2">
      <c r="A67" s="120" t="str">
        <f>VLOOKUP("&lt;Titelprov&gt;",Uebersetzungen!$B$4:$E$304,Uebersetzungen!$B$2+1,FALSE)</f>
        <v>definitive Ergebnisse</v>
      </c>
      <c r="B67" s="121"/>
      <c r="C67" s="122"/>
      <c r="D67" s="122"/>
      <c r="E67" s="122"/>
      <c r="F67" s="122"/>
      <c r="G67" s="122"/>
    </row>
    <row r="68" spans="1:10" ht="18.75" customHeight="1" thickBot="1" x14ac:dyDescent="0.3">
      <c r="A68" s="50"/>
    </row>
    <row r="69" spans="1:10" ht="51" x14ac:dyDescent="0.2">
      <c r="A69" s="8"/>
      <c r="B69" s="9"/>
      <c r="C69" s="20" t="str">
        <f>VLOOKUP("&lt;T3SpaltenTitel_1&gt;",Uebersetzungen!$B$4:$E$304,Uebersetzungen!$B$2+1,FALSE)</f>
        <v>März 2024</v>
      </c>
      <c r="D69" s="21" t="str">
        <f>VLOOKUP("&lt;T3SpaltenTitel_2&gt;",Uebersetzungen!$B$4:$E$304,Uebersetzungen!$B$2+1,FALSE)</f>
        <v>März 2023</v>
      </c>
      <c r="E69" s="22" t="str">
        <f>VLOOKUP("&lt;SpaltenTitel_3&gt;",Uebersetzungen!$B$4:$E$304,Uebersetzungen!$B$2+1,FALSE)</f>
        <v>Veränderung 24/23 in %</v>
      </c>
      <c r="F69" s="22" t="str">
        <f>VLOOKUP("&lt;SpaltenTitel_4&gt;",Uebersetzungen!$B$4:$E$304,Uebersetzungen!$B$2+1,FALSE)</f>
        <v>Veränderung zum
5-Jahresmittel 
in %</v>
      </c>
      <c r="G69" s="75" t="str">
        <f>VLOOKUP("&lt;T3SpaltenTitel_5&gt;",Uebersetzungen!$B$4:$E$304,Uebersetzungen!$B$2+1,FALSE)</f>
        <v>Januar-März 24</v>
      </c>
      <c r="H69" s="22" t="str">
        <f>VLOOKUP("&lt;T3SpaltenTitel_6&gt;",Uebersetzungen!$B$4:$E$304,Uebersetzungen!$B$2+1,FALSE)</f>
        <v>Januar-März 23</v>
      </c>
      <c r="I69" s="22" t="str">
        <f>VLOOKUP("&lt;SpaltenTitel_7&gt;",Uebersetzungen!$B$4:$E$304,Uebersetzungen!$B$2+1,FALSE)</f>
        <v>Veränderung 24/23 in %</v>
      </c>
      <c r="J69" s="23" t="str">
        <f>VLOOKUP("&lt;SpaltenTitel_8&gt;",Uebersetzungen!$B$4:$E$304,Uebersetzungen!$B$2+1,FALSE)</f>
        <v>Veränderung zum
5-Jahresmittel 
in %</v>
      </c>
    </row>
    <row r="70" spans="1:10" x14ac:dyDescent="0.2">
      <c r="A70" s="24" t="str">
        <f>VLOOKUP("&lt;Zeilentitel_44&gt;",Uebersetzungen!$B$4:$E$78,Uebersetzungen!$B$2+1,FALSE)</f>
        <v>Aargau und Solothurn Region</v>
      </c>
      <c r="B70" s="5"/>
      <c r="C70" s="13">
        <v>86378</v>
      </c>
      <c r="D70" s="17">
        <v>83435</v>
      </c>
      <c r="E70" s="10">
        <f>C70/D70-1</f>
        <v>3.5272966980284037E-2</v>
      </c>
      <c r="F70" s="80">
        <v>0.3611709051255465</v>
      </c>
      <c r="G70" s="83">
        <v>230538</v>
      </c>
      <c r="H70" s="17">
        <v>219167</v>
      </c>
      <c r="I70" s="10">
        <f>G70/H70-1</f>
        <v>5.1882810824622316E-2</v>
      </c>
      <c r="J70" s="44">
        <v>0.3115994551927932</v>
      </c>
    </row>
    <row r="71" spans="1:10" x14ac:dyDescent="0.2">
      <c r="A71" s="24" t="str">
        <f>VLOOKUP("&lt;Zeilentitel_45&gt;",Uebersetzungen!$B$4:$E$78,Uebersetzungen!$B$2+1,FALSE)</f>
        <v>Basel Region</v>
      </c>
      <c r="B71" s="5"/>
      <c r="C71" s="13">
        <v>125813</v>
      </c>
      <c r="D71" s="17">
        <v>128740</v>
      </c>
      <c r="E71" s="10">
        <f t="shared" ref="E71:E83" si="5">C71/D71-1</f>
        <v>-2.2735746465744944E-2</v>
      </c>
      <c r="F71" s="80">
        <v>0.37648273885197003</v>
      </c>
      <c r="G71" s="83">
        <v>334267</v>
      </c>
      <c r="H71" s="17">
        <v>322429</v>
      </c>
      <c r="I71" s="10">
        <f t="shared" ref="I71:I83" si="6">G71/H71-1</f>
        <v>3.6715059749588219E-2</v>
      </c>
      <c r="J71" s="44">
        <v>0.36495345306473137</v>
      </c>
    </row>
    <row r="72" spans="1:10" x14ac:dyDescent="0.2">
      <c r="A72" s="24" t="str">
        <f>VLOOKUP("&lt;Zeilentitel_46&gt;",Uebersetzungen!$B$4:$E$78,Uebersetzungen!$B$2+1,FALSE)</f>
        <v>Bern Region</v>
      </c>
      <c r="B72" s="5"/>
      <c r="C72" s="13">
        <v>399796</v>
      </c>
      <c r="D72" s="17">
        <v>374124</v>
      </c>
      <c r="E72" s="10">
        <f t="shared" si="5"/>
        <v>6.861896055853145E-2</v>
      </c>
      <c r="F72" s="80">
        <v>0.33436487868439246</v>
      </c>
      <c r="G72" s="83">
        <v>1263548</v>
      </c>
      <c r="H72" s="17">
        <v>1214301</v>
      </c>
      <c r="I72" s="10">
        <f t="shared" si="6"/>
        <v>4.055584241468968E-2</v>
      </c>
      <c r="J72" s="44">
        <v>0.23686414040767279</v>
      </c>
    </row>
    <row r="73" spans="1:10" x14ac:dyDescent="0.2">
      <c r="A73" s="24" t="str">
        <f>VLOOKUP("&lt;Zeilentitel_47&gt;",Uebersetzungen!$B$4:$E$78,Uebersetzungen!$B$2+1,FALSE)</f>
        <v>Fribourg Region</v>
      </c>
      <c r="B73" s="5"/>
      <c r="C73" s="13">
        <v>33925</v>
      </c>
      <c r="D73" s="17">
        <v>29792</v>
      </c>
      <c r="E73" s="10">
        <f t="shared" si="5"/>
        <v>0.13872851772287853</v>
      </c>
      <c r="F73" s="80">
        <v>0.42203834578271859</v>
      </c>
      <c r="G73" s="83">
        <v>93743</v>
      </c>
      <c r="H73" s="17">
        <v>88539</v>
      </c>
      <c r="I73" s="10">
        <f t="shared" si="6"/>
        <v>5.8776358440913112E-2</v>
      </c>
      <c r="J73" s="44">
        <v>0.3015161191791853</v>
      </c>
    </row>
    <row r="74" spans="1:10" x14ac:dyDescent="0.2">
      <c r="A74" s="24" t="str">
        <f>VLOOKUP("&lt;Zeilentitel_48&gt;",Uebersetzungen!$B$4:$E$78,Uebersetzungen!$B$2+1,FALSE)</f>
        <v>Genf</v>
      </c>
      <c r="B74" s="5"/>
      <c r="C74" s="13">
        <v>282729</v>
      </c>
      <c r="D74" s="17">
        <v>296547</v>
      </c>
      <c r="E74" s="10">
        <f t="shared" si="5"/>
        <v>-4.6596323685621499E-2</v>
      </c>
      <c r="F74" s="80">
        <v>0.47199181142110991</v>
      </c>
      <c r="G74" s="83">
        <v>775904</v>
      </c>
      <c r="H74" s="17">
        <v>737427</v>
      </c>
      <c r="I74" s="10">
        <f t="shared" si="6"/>
        <v>5.2177368064906693E-2</v>
      </c>
      <c r="J74" s="44">
        <v>0.46916010448989987</v>
      </c>
    </row>
    <row r="75" spans="1:10" x14ac:dyDescent="0.2">
      <c r="A75" s="110" t="str">
        <f>VLOOKUP("&lt;Zeilentitel_49&gt;",Uebersetzungen!$B$4:$E$78,Uebersetzungen!$B$2+1,FALSE)</f>
        <v>Graubünden</v>
      </c>
      <c r="B75" s="60"/>
      <c r="C75" s="61">
        <v>622111</v>
      </c>
      <c r="D75" s="62">
        <v>558909</v>
      </c>
      <c r="E75" s="63">
        <f t="shared" si="5"/>
        <v>0.11308102034499345</v>
      </c>
      <c r="F75" s="85">
        <v>0.15702705286372631</v>
      </c>
      <c r="G75" s="87">
        <v>2182818</v>
      </c>
      <c r="H75" s="62">
        <v>2064622</v>
      </c>
      <c r="I75" s="63">
        <f t="shared" si="6"/>
        <v>5.7248251738090561E-2</v>
      </c>
      <c r="J75" s="64">
        <v>0.1447947877337834</v>
      </c>
    </row>
    <row r="76" spans="1:10" x14ac:dyDescent="0.2">
      <c r="A76" s="24" t="str">
        <f>VLOOKUP("&lt;Zeilentitel_50&gt;",Uebersetzungen!$B$4:$E$78,Uebersetzungen!$B$2+1,FALSE)</f>
        <v>Jura &amp; Drei-Seen-Land</v>
      </c>
      <c r="B76" s="5"/>
      <c r="C76" s="13">
        <v>41288</v>
      </c>
      <c r="D76" s="17">
        <v>39013</v>
      </c>
      <c r="E76" s="10">
        <f t="shared" si="5"/>
        <v>5.8313895368210522E-2</v>
      </c>
      <c r="F76" s="80">
        <v>0.31573412534018264</v>
      </c>
      <c r="G76" s="83">
        <v>101620</v>
      </c>
      <c r="H76" s="17">
        <v>101269</v>
      </c>
      <c r="I76" s="10">
        <f t="shared" si="6"/>
        <v>3.4660162537401007E-3</v>
      </c>
      <c r="J76" s="44">
        <v>0.20103154923851152</v>
      </c>
    </row>
    <row r="77" spans="1:10" x14ac:dyDescent="0.2">
      <c r="A77" s="24" t="str">
        <f>VLOOKUP("&lt;Zeilentitel_51&gt;",Uebersetzungen!$B$4:$E$78,Uebersetzungen!$B$2+1,FALSE)</f>
        <v>Luzern / Vierwaldstättersee</v>
      </c>
      <c r="B77" s="5"/>
      <c r="C77" s="13">
        <v>274295</v>
      </c>
      <c r="D77" s="17">
        <v>255787</v>
      </c>
      <c r="E77" s="10">
        <f t="shared" si="5"/>
        <v>7.2357078350346216E-2</v>
      </c>
      <c r="F77" s="80">
        <v>0.36969166145678334</v>
      </c>
      <c r="G77" s="83">
        <v>762041</v>
      </c>
      <c r="H77" s="17">
        <v>738981</v>
      </c>
      <c r="I77" s="10">
        <f t="shared" si="6"/>
        <v>3.1205132472959418E-2</v>
      </c>
      <c r="J77" s="44">
        <v>0.24523380539644202</v>
      </c>
    </row>
    <row r="78" spans="1:10" x14ac:dyDescent="0.2">
      <c r="A78" s="24" t="str">
        <f>VLOOKUP("&lt;Zeilentitel_52&gt;",Uebersetzungen!$B$4:$E$78,Uebersetzungen!$B$2+1,FALSE)</f>
        <v>Ostschweiz</v>
      </c>
      <c r="B78" s="5"/>
      <c r="C78" s="13">
        <v>138392</v>
      </c>
      <c r="D78" s="17">
        <v>137738</v>
      </c>
      <c r="E78" s="10">
        <f t="shared" si="5"/>
        <v>4.7481450289681426E-3</v>
      </c>
      <c r="F78" s="80">
        <v>0.21598942801260357</v>
      </c>
      <c r="G78" s="83">
        <v>399292</v>
      </c>
      <c r="H78" s="17">
        <v>394952</v>
      </c>
      <c r="I78" s="10">
        <f t="shared" si="6"/>
        <v>1.0988677105066014E-2</v>
      </c>
      <c r="J78" s="44">
        <v>0.17888881671794077</v>
      </c>
    </row>
    <row r="79" spans="1:10" x14ac:dyDescent="0.2">
      <c r="A79" s="24" t="str">
        <f>VLOOKUP("&lt;Zeilentitel_53&gt;",Uebersetzungen!$B$4:$E$78,Uebersetzungen!$B$2+1,FALSE)</f>
        <v>Tessin</v>
      </c>
      <c r="B79" s="5"/>
      <c r="C79" s="13">
        <v>135089</v>
      </c>
      <c r="D79" s="17">
        <v>143176</v>
      </c>
      <c r="E79" s="10">
        <f t="shared" si="5"/>
        <v>-5.6482930100016815E-2</v>
      </c>
      <c r="F79" s="80">
        <v>0.10328791870776577</v>
      </c>
      <c r="G79" s="83">
        <v>272405</v>
      </c>
      <c r="H79" s="17">
        <v>286385</v>
      </c>
      <c r="I79" s="10">
        <f t="shared" si="6"/>
        <v>-4.8815405834802816E-2</v>
      </c>
      <c r="J79" s="44">
        <v>8.4481293837281424E-2</v>
      </c>
    </row>
    <row r="80" spans="1:10" x14ac:dyDescent="0.2">
      <c r="A80" s="24" t="str">
        <f>VLOOKUP("&lt;Zeilentitel_54&gt;",Uebersetzungen!$B$4:$E$78,Uebersetzungen!$B$2+1,FALSE)</f>
        <v>Waadt</v>
      </c>
      <c r="B80" s="5"/>
      <c r="C80" s="13">
        <v>206783</v>
      </c>
      <c r="D80" s="17">
        <v>207812</v>
      </c>
      <c r="E80" s="10">
        <f t="shared" si="5"/>
        <v>-4.9515908609705228E-3</v>
      </c>
      <c r="F80" s="80">
        <v>0.29640775250368945</v>
      </c>
      <c r="G80" s="83">
        <v>572979</v>
      </c>
      <c r="H80" s="17">
        <v>576639</v>
      </c>
      <c r="I80" s="10">
        <f t="shared" si="6"/>
        <v>-6.3471253245097614E-3</v>
      </c>
      <c r="J80" s="44">
        <v>0.18491614704914028</v>
      </c>
    </row>
    <row r="81" spans="1:10" x14ac:dyDescent="0.2">
      <c r="A81" s="24" t="str">
        <f>VLOOKUP("&lt;Zeilentitel_55&gt;",Uebersetzungen!$B$4:$E$78,Uebersetzungen!$B$2+1,FALSE)</f>
        <v>Wallis</v>
      </c>
      <c r="B81" s="5"/>
      <c r="C81" s="13">
        <v>475165</v>
      </c>
      <c r="D81" s="17">
        <v>441877</v>
      </c>
      <c r="E81" s="33">
        <f t="shared" si="5"/>
        <v>7.5333180953070622E-2</v>
      </c>
      <c r="F81" s="80">
        <v>0.22774928091794444</v>
      </c>
      <c r="G81" s="83">
        <v>1516912</v>
      </c>
      <c r="H81" s="17">
        <v>1466061</v>
      </c>
      <c r="I81" s="33">
        <f t="shared" si="6"/>
        <v>3.4685459881955705E-2</v>
      </c>
      <c r="J81" s="44">
        <v>0.17143117500513538</v>
      </c>
    </row>
    <row r="82" spans="1:10" x14ac:dyDescent="0.2">
      <c r="A82" s="24" t="str">
        <f>VLOOKUP("&lt;Zeilentitel_56&gt;",Uebersetzungen!$B$4:$E$78,Uebersetzungen!$B$2+1,FALSE)</f>
        <v>Zürich Region</v>
      </c>
      <c r="B82" s="7"/>
      <c r="C82" s="14">
        <v>515799</v>
      </c>
      <c r="D82" s="18">
        <v>506243</v>
      </c>
      <c r="E82" s="43">
        <f t="shared" si="5"/>
        <v>1.8876310388489248E-2</v>
      </c>
      <c r="F82" s="11">
        <v>0.56604451849958193</v>
      </c>
      <c r="G82" s="84">
        <v>1368386</v>
      </c>
      <c r="H82" s="18">
        <v>1317676</v>
      </c>
      <c r="I82" s="43">
        <f t="shared" si="6"/>
        <v>3.8484422574289967E-2</v>
      </c>
      <c r="J82" s="48">
        <v>0.44956359045447725</v>
      </c>
    </row>
    <row r="83" spans="1:10" ht="13.5" thickBot="1" x14ac:dyDescent="0.25">
      <c r="A83" s="71" t="str">
        <f>VLOOKUP("&lt;Zeilentitel_57&gt;",Uebersetzungen!$B$4:$E$78,Uebersetzungen!$B$2+1,FALSE)</f>
        <v>Schweiz</v>
      </c>
      <c r="B83" s="39"/>
      <c r="C83" s="30">
        <v>3337563</v>
      </c>
      <c r="D83" s="40">
        <v>3203193</v>
      </c>
      <c r="E83" s="41">
        <f t="shared" si="5"/>
        <v>4.1948767994935077E-2</v>
      </c>
      <c r="F83" s="86">
        <v>0.30789003914857349</v>
      </c>
      <c r="G83" s="79">
        <v>9874453</v>
      </c>
      <c r="H83" s="40">
        <v>9528448</v>
      </c>
      <c r="I83" s="41">
        <f t="shared" si="6"/>
        <v>3.6312839194798663E-2</v>
      </c>
      <c r="J83" s="45">
        <v>0.24081058182676118</v>
      </c>
    </row>
    <row r="84" spans="1:10" x14ac:dyDescent="0.2">
      <c r="A84" s="34"/>
      <c r="B84" s="35"/>
      <c r="C84" s="29"/>
      <c r="D84" s="36"/>
      <c r="E84" s="37"/>
      <c r="F84" s="38"/>
    </row>
    <row r="85" spans="1:10" x14ac:dyDescent="0.2">
      <c r="A85" s="4" t="str">
        <f>VLOOKUP("&lt;Quelle_1&gt;",Uebersetzungen!$B$4:$E$86,Uebersetzungen!$B$2+1,FALSE)</f>
        <v>Quelle: BFS (HESTA)</v>
      </c>
    </row>
    <row r="86" spans="1:10" ht="12.75" customHeight="1" x14ac:dyDescent="0.2">
      <c r="A86" s="4" t="str">
        <f>VLOOKUP("&lt;T3Aktualisierung&gt;",Uebersetzungen!$B$4:$E$304,Uebersetzungen!$B$2+1,FALSE)</f>
        <v>Letztmals aktualisiert am: 06.05.2024</v>
      </c>
    </row>
    <row r="87" spans="1:10" x14ac:dyDescent="0.2">
      <c r="A87" s="4" t="str">
        <f>VLOOKUP("&lt;Legende_2&gt;",Uebersetzungen!$B$4:$E$86,Uebersetzungen!$B$2+1,FALSE)</f>
        <v>Kontakt: Luzius Stricker, 081 257 23 74, luzius.stricker@awt.gr.ch</v>
      </c>
    </row>
    <row r="88" spans="1:10" x14ac:dyDescent="0.2">
      <c r="A88" s="31" t="str">
        <f>VLOOKUP("&lt;T3Legende_3&gt;",Uebersetzungen!$B$4:$E$304,Uebersetzungen!$B$2+1,FALSE)</f>
        <v>Daten des April 2024 erscheinen am 6. Juni 2024.</v>
      </c>
    </row>
    <row r="90" spans="1:10" x14ac:dyDescent="0.2">
      <c r="A90" s="4" t="s">
        <v>55</v>
      </c>
    </row>
  </sheetData>
  <sheetProtection sheet="1" objects="1" scenarios="1"/>
  <mergeCells count="1">
    <mergeCell ref="A7:D7"/>
  </mergeCells>
  <hyperlinks>
    <hyperlink ref="E63" r:id="rId1"/>
  </hyperlinks>
  <pageMargins left="0.70866141732283472" right="0.70866141732283472" top="0.78740157480314965" bottom="0.78740157480314965" header="0.31496062992125984" footer="0.31496062992125984"/>
  <pageSetup paperSize="9" scale="90" fitToHeight="2" orientation="landscape" r:id="rId2"/>
  <rowBreaks count="2" manualBreakCount="2">
    <brk id="38" max="9" man="1"/>
    <brk id="65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J90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24" t="str">
        <f>VLOOKUP("&lt;Fachbereich&gt;",Uebersetzungen!$B$4:$E$304,Uebersetzungen!$B$2+1,FALSE)</f>
        <v>Daten &amp; Statistik</v>
      </c>
      <c r="B7" s="124"/>
      <c r="C7" s="124"/>
      <c r="D7" s="124"/>
      <c r="E7" s="95"/>
      <c r="F7" s="1"/>
    </row>
    <row r="8" spans="1:10" ht="10.5" customHeight="1" x14ac:dyDescent="0.2"/>
    <row r="9" spans="1:10" ht="18" x14ac:dyDescent="0.25">
      <c r="A9" s="2" t="str">
        <f>VLOOKUP("&lt;T2Titel1&gt;",Uebersetzungen!$B$4:$E$304,Uebersetzungen!$B$2+1,FALSE)</f>
        <v>Hotel- und Kurbetriebe: Logiernächte im Februar 2024, nach Herkunft</v>
      </c>
      <c r="B9" s="3"/>
      <c r="C9" s="3"/>
      <c r="D9" s="3"/>
      <c r="E9" s="3"/>
      <c r="F9" s="3"/>
    </row>
    <row r="10" spans="1:10" s="123" customFormat="1" x14ac:dyDescent="0.2">
      <c r="A10" s="120" t="str">
        <f>VLOOKUP("&lt;Titelprov&gt;",Uebersetzungen!$B$4:$E$304,Uebersetzungen!$B$2+1,FALSE)</f>
        <v>definitive Ergebnisse</v>
      </c>
      <c r="B10" s="121"/>
      <c r="C10" s="122"/>
      <c r="D10" s="122"/>
      <c r="E10" s="122"/>
      <c r="F10" s="122"/>
      <c r="G10" s="122"/>
    </row>
    <row r="11" spans="1:10" ht="13.5" thickBot="1" x14ac:dyDescent="0.25"/>
    <row r="12" spans="1:10" ht="51" x14ac:dyDescent="0.2">
      <c r="A12" s="8"/>
      <c r="B12" s="9"/>
      <c r="C12" s="20" t="str">
        <f>VLOOKUP("&lt;T2SpaltenTitel_1&gt;",Uebersetzungen!$B$4:$E$304,Uebersetzungen!$B$2+1,FALSE)</f>
        <v>Februar 2024</v>
      </c>
      <c r="D12" s="21" t="str">
        <f>VLOOKUP("&lt;T2SpaltenTitel_2&gt;",Uebersetzungen!$B$4:$E$304,Uebersetzungen!$B$2+1,FALSE)</f>
        <v>Februar 2023</v>
      </c>
      <c r="E12" s="22" t="str">
        <f>VLOOKUP("&lt;SpaltenTitel_3&gt;",Uebersetzungen!$B$4:$E$304,Uebersetzungen!$B$2+1,FALSE)</f>
        <v>Veränderung 24/23 in %</v>
      </c>
      <c r="F12" s="22" t="str">
        <f>VLOOKUP("&lt;SpaltenTitel_4&gt;",Uebersetzungen!$B$4:$E$304,Uebersetzungen!$B$2+1,FALSE)</f>
        <v>Veränderung zum
5-Jahresmittel 
in %</v>
      </c>
      <c r="G12" s="75" t="str">
        <f>VLOOKUP("&lt;T2SpaltenTitel_5&gt;",Uebersetzungen!$B$4:$E$304,Uebersetzungen!$B$2+1,FALSE)</f>
        <v>Januar-Februar 24</v>
      </c>
      <c r="H12" s="22" t="str">
        <f>VLOOKUP("&lt;T2SpaltenTitel_6&gt;",Uebersetzungen!$B$4:$E$304,Uebersetzungen!$B$2+1,FALSE)</f>
        <v>Januar-Februar 23</v>
      </c>
      <c r="I12" s="22" t="str">
        <f>VLOOKUP("&lt;SpaltenTitel_7&gt;",Uebersetzungen!$B$4:$E$304,Uebersetzungen!$B$2+1,FALSE)</f>
        <v>Veränderung 24/23 in %</v>
      </c>
      <c r="J12" s="23" t="str">
        <f>VLOOKUP("&lt;SpaltenTitel_8&gt;",Uebersetzungen!$B$4:$E$304,Uebersetzungen!$B$2+1,FALSE)</f>
        <v>Veränderung zum
5-Jahresmittel 
in %</v>
      </c>
    </row>
    <row r="13" spans="1:10" x14ac:dyDescent="0.2">
      <c r="A13" s="24" t="str">
        <f>VLOOKUP("&lt;Zeilentitel_1&gt;",Uebersetzungen!$B$4:$E$78,Uebersetzungen!$B$2+1,FALSE)</f>
        <v>Schweiz</v>
      </c>
      <c r="B13" s="5"/>
      <c r="C13" s="51">
        <v>543952</v>
      </c>
      <c r="D13" s="52">
        <v>544997</v>
      </c>
      <c r="E13" s="53">
        <f t="shared" ref="E13:E36" si="0">C13/D13-1</f>
        <v>-1.9174417473857286E-3</v>
      </c>
      <c r="F13" s="72">
        <v>1.2495369844705895E-2</v>
      </c>
      <c r="G13" s="76">
        <v>992987</v>
      </c>
      <c r="H13" s="52">
        <v>986142</v>
      </c>
      <c r="I13" s="53">
        <f t="shared" ref="I13:I36" si="1">G13/H13-1</f>
        <v>6.9411910252275E-3</v>
      </c>
      <c r="J13" s="54">
        <v>7.621571156781215E-2</v>
      </c>
    </row>
    <row r="14" spans="1:10" x14ac:dyDescent="0.2">
      <c r="A14" s="24" t="str">
        <f>VLOOKUP("&lt;Zeilentitel_2&gt;",Uebersetzungen!$B$4:$E$78,Uebersetzungen!$B$2+1,FALSE)</f>
        <v>Deutschland</v>
      </c>
      <c r="B14" s="5"/>
      <c r="C14" s="51">
        <v>117412</v>
      </c>
      <c r="D14" s="52">
        <v>105102</v>
      </c>
      <c r="E14" s="53">
        <f t="shared" si="0"/>
        <v>0.11712431732983197</v>
      </c>
      <c r="F14" s="72">
        <v>0.28653484136915397</v>
      </c>
      <c r="G14" s="76">
        <v>222071</v>
      </c>
      <c r="H14" s="52">
        <v>207309</v>
      </c>
      <c r="I14" s="53">
        <f t="shared" si="1"/>
        <v>7.1207714088630913E-2</v>
      </c>
      <c r="J14" s="54">
        <v>0.27138187085287035</v>
      </c>
    </row>
    <row r="15" spans="1:10" x14ac:dyDescent="0.2">
      <c r="A15" s="24" t="str">
        <f>VLOOKUP("&lt;Zeilentitel_3&gt;",Uebersetzungen!$B$4:$E$78,Uebersetzungen!$B$2+1,FALSE)</f>
        <v>Italien</v>
      </c>
      <c r="B15" s="5"/>
      <c r="C15" s="51">
        <v>15273</v>
      </c>
      <c r="D15" s="52">
        <v>12537</v>
      </c>
      <c r="E15" s="53">
        <f t="shared" si="0"/>
        <v>0.21823402727925334</v>
      </c>
      <c r="F15" s="72">
        <v>0.44076750372620421</v>
      </c>
      <c r="G15" s="76">
        <v>30363</v>
      </c>
      <c r="H15" s="52">
        <v>28008</v>
      </c>
      <c r="I15" s="53">
        <f t="shared" si="1"/>
        <v>8.4083119108826043E-2</v>
      </c>
      <c r="J15" s="54">
        <v>0.37340667094871471</v>
      </c>
    </row>
    <row r="16" spans="1:10" x14ac:dyDescent="0.2">
      <c r="A16" s="24" t="str">
        <f>VLOOKUP("&lt;Zeilentitel_4&gt;",Uebersetzungen!$B$4:$E$78,Uebersetzungen!$B$2+1,FALSE)</f>
        <v>Frankreich</v>
      </c>
      <c r="B16" s="5"/>
      <c r="C16" s="51">
        <v>10525</v>
      </c>
      <c r="D16" s="52">
        <v>8753</v>
      </c>
      <c r="E16" s="53">
        <f t="shared" si="0"/>
        <v>0.20244487604249972</v>
      </c>
      <c r="F16" s="72">
        <v>3.5680547902070314E-2</v>
      </c>
      <c r="G16" s="76">
        <v>18054</v>
      </c>
      <c r="H16" s="52">
        <v>15544</v>
      </c>
      <c r="I16" s="53">
        <f t="shared" si="1"/>
        <v>0.16147709727225945</v>
      </c>
      <c r="J16" s="54">
        <v>0.16298844355119235</v>
      </c>
    </row>
    <row r="17" spans="1:10" x14ac:dyDescent="0.2">
      <c r="A17" s="24" t="str">
        <f>VLOOKUP("&lt;Zeilentitel_5&gt;",Uebersetzungen!$B$4:$E$78,Uebersetzungen!$B$2+1,FALSE)</f>
        <v>Österreich</v>
      </c>
      <c r="B17" s="5"/>
      <c r="C17" s="51">
        <v>4750</v>
      </c>
      <c r="D17" s="52">
        <v>4798</v>
      </c>
      <c r="E17" s="53">
        <f t="shared" si="0"/>
        <v>-1.000416840350149E-2</v>
      </c>
      <c r="F17" s="72">
        <v>8.2744472304536076E-2</v>
      </c>
      <c r="G17" s="76">
        <v>8815</v>
      </c>
      <c r="H17" s="52">
        <v>9234</v>
      </c>
      <c r="I17" s="53">
        <f t="shared" si="1"/>
        <v>-4.537578514186702E-2</v>
      </c>
      <c r="J17" s="54">
        <v>0.12310162062990515</v>
      </c>
    </row>
    <row r="18" spans="1:10" x14ac:dyDescent="0.2">
      <c r="A18" s="24" t="str">
        <f>VLOOKUP("&lt;Zeilentitel_6&gt;",Uebersetzungen!$B$4:$E$78,Uebersetzungen!$B$2+1,FALSE)</f>
        <v>Niederlande</v>
      </c>
      <c r="B18" s="5"/>
      <c r="C18" s="51">
        <v>18836</v>
      </c>
      <c r="D18" s="52">
        <v>14276</v>
      </c>
      <c r="E18" s="53">
        <f t="shared" si="0"/>
        <v>0.31941720369851501</v>
      </c>
      <c r="F18" s="72">
        <v>0.32638546581226668</v>
      </c>
      <c r="G18" s="76">
        <v>29683</v>
      </c>
      <c r="H18" s="52">
        <v>25057</v>
      </c>
      <c r="I18" s="53">
        <f t="shared" si="1"/>
        <v>0.18461906852376586</v>
      </c>
      <c r="J18" s="54">
        <v>0.31179345760524679</v>
      </c>
    </row>
    <row r="19" spans="1:10" x14ac:dyDescent="0.2">
      <c r="A19" s="24" t="str">
        <f>VLOOKUP("&lt;Zeilentitel_7&gt;",Uebersetzungen!$B$4:$E$78,Uebersetzungen!$B$2+1,FALSE)</f>
        <v>Belgien</v>
      </c>
      <c r="B19" s="5"/>
      <c r="C19" s="51">
        <v>12515</v>
      </c>
      <c r="D19" s="52">
        <v>12379</v>
      </c>
      <c r="E19" s="53">
        <f t="shared" si="0"/>
        <v>1.0986347847160571E-2</v>
      </c>
      <c r="F19" s="72">
        <v>0.33821642429426868</v>
      </c>
      <c r="G19" s="76">
        <v>18650</v>
      </c>
      <c r="H19" s="52">
        <v>18614</v>
      </c>
      <c r="I19" s="53">
        <f t="shared" si="1"/>
        <v>1.9340281508541945E-3</v>
      </c>
      <c r="J19" s="54">
        <v>0.31031672427844748</v>
      </c>
    </row>
    <row r="20" spans="1:10" x14ac:dyDescent="0.2">
      <c r="A20" s="24" t="str">
        <f>VLOOKUP("&lt;Zeilentitel_8&gt;",Uebersetzungen!$B$4:$E$78,Uebersetzungen!$B$2+1,FALSE)</f>
        <v>Luxemburg</v>
      </c>
      <c r="B20" s="5"/>
      <c r="C20" s="51">
        <v>4648</v>
      </c>
      <c r="D20" s="52">
        <v>4458</v>
      </c>
      <c r="E20" s="53">
        <f t="shared" si="0"/>
        <v>4.2620008972633405E-2</v>
      </c>
      <c r="F20" s="72">
        <v>-9.0054815974941249E-2</v>
      </c>
      <c r="G20" s="76">
        <v>7649</v>
      </c>
      <c r="H20" s="52">
        <v>7419</v>
      </c>
      <c r="I20" s="53">
        <f t="shared" si="1"/>
        <v>3.100148267960634E-2</v>
      </c>
      <c r="J20" s="54">
        <v>7.1528633867533387E-2</v>
      </c>
    </row>
    <row r="21" spans="1:10" x14ac:dyDescent="0.2">
      <c r="A21" s="24" t="str">
        <f>VLOOKUP("&lt;Zeilentitel_9&gt;",Uebersetzungen!$B$4:$E$78,Uebersetzungen!$B$2+1,FALSE)</f>
        <v>Vereinigtes Königreich</v>
      </c>
      <c r="B21" s="5"/>
      <c r="C21" s="51">
        <v>34722</v>
      </c>
      <c r="D21" s="52">
        <v>33254</v>
      </c>
      <c r="E21" s="53">
        <f t="shared" si="0"/>
        <v>4.4145065255307703E-2</v>
      </c>
      <c r="F21" s="72">
        <v>0.20686538942802324</v>
      </c>
      <c r="G21" s="76">
        <v>55150</v>
      </c>
      <c r="H21" s="52">
        <v>55414</v>
      </c>
      <c r="I21" s="53">
        <f t="shared" si="1"/>
        <v>-4.764139026238845E-3</v>
      </c>
      <c r="J21" s="54">
        <v>0.22714266006256967</v>
      </c>
    </row>
    <row r="22" spans="1:10" x14ac:dyDescent="0.2">
      <c r="A22" s="24" t="str">
        <f>VLOOKUP("&lt;Zeilentitel_10&gt;",Uebersetzungen!$B$4:$E$78,Uebersetzungen!$B$2+1,FALSE)</f>
        <v>Vereinigte Staaten</v>
      </c>
      <c r="B22" s="5"/>
      <c r="C22" s="51">
        <v>14820</v>
      </c>
      <c r="D22" s="52">
        <v>11919</v>
      </c>
      <c r="E22" s="53">
        <f t="shared" si="0"/>
        <v>0.24339290208910147</v>
      </c>
      <c r="F22" s="72">
        <v>0.74398079502930181</v>
      </c>
      <c r="G22" s="76">
        <v>35534</v>
      </c>
      <c r="H22" s="52">
        <v>30127</v>
      </c>
      <c r="I22" s="53">
        <f t="shared" si="1"/>
        <v>0.17947356192120023</v>
      </c>
      <c r="J22" s="54">
        <v>0.70541370704549822</v>
      </c>
    </row>
    <row r="23" spans="1:10" x14ac:dyDescent="0.2">
      <c r="A23" s="24" t="str">
        <f>VLOOKUP("&lt;Zeilentitel_11&gt;",Uebersetzungen!$B$4:$E$78,Uebersetzungen!$B$2+1,FALSE)</f>
        <v>Polen</v>
      </c>
      <c r="B23" s="5"/>
      <c r="C23" s="51">
        <v>4314</v>
      </c>
      <c r="D23" s="52">
        <v>4366</v>
      </c>
      <c r="E23" s="53">
        <f t="shared" si="0"/>
        <v>-1.1910215300045768E-2</v>
      </c>
      <c r="F23" s="72">
        <v>-0.48213771247479109</v>
      </c>
      <c r="G23" s="76">
        <v>10831</v>
      </c>
      <c r="H23" s="52">
        <v>9134</v>
      </c>
      <c r="I23" s="53">
        <f t="shared" si="1"/>
        <v>0.18578935844098976</v>
      </c>
      <c r="J23" s="54">
        <v>-0.40912364160083803</v>
      </c>
    </row>
    <row r="24" spans="1:10" x14ac:dyDescent="0.2">
      <c r="A24" s="24" t="str">
        <f>VLOOKUP("&lt;Zeilentitel_12&gt;",Uebersetzungen!$B$4:$E$78,Uebersetzungen!$B$2+1,FALSE)</f>
        <v>Tschechien</v>
      </c>
      <c r="B24" s="5"/>
      <c r="C24" s="51">
        <v>3688</v>
      </c>
      <c r="D24" s="52">
        <v>2723</v>
      </c>
      <c r="E24" s="53">
        <f t="shared" si="0"/>
        <v>0.35438854204921033</v>
      </c>
      <c r="F24" s="72">
        <v>0.54387139986604138</v>
      </c>
      <c r="G24" s="76">
        <v>6029</v>
      </c>
      <c r="H24" s="52">
        <v>4817</v>
      </c>
      <c r="I24" s="53">
        <f t="shared" si="1"/>
        <v>0.25160888519825608</v>
      </c>
      <c r="J24" s="54">
        <v>0.27457612785928687</v>
      </c>
    </row>
    <row r="25" spans="1:10" x14ac:dyDescent="0.2">
      <c r="A25" s="24" t="str">
        <f>VLOOKUP("&lt;Zeilentitel_13&gt;",Uebersetzungen!$B$4:$E$78,Uebersetzungen!$B$2+1,FALSE)</f>
        <v>Russland</v>
      </c>
      <c r="B25" s="5"/>
      <c r="C25" s="51">
        <v>1328</v>
      </c>
      <c r="D25" s="52">
        <v>2159</v>
      </c>
      <c r="E25" s="53">
        <f t="shared" si="0"/>
        <v>-0.38490041685965726</v>
      </c>
      <c r="F25" s="72">
        <v>-0.57688141209456445</v>
      </c>
      <c r="G25" s="76">
        <v>4311</v>
      </c>
      <c r="H25" s="52">
        <v>4569</v>
      </c>
      <c r="I25" s="53">
        <f t="shared" si="1"/>
        <v>-5.6467498358502954E-2</v>
      </c>
      <c r="J25" s="54">
        <v>-0.62210729312762969</v>
      </c>
    </row>
    <row r="26" spans="1:10" x14ac:dyDescent="0.2">
      <c r="A26" s="24" t="str">
        <f>VLOOKUP("&lt;Zeilentitel_14&gt;",Uebersetzungen!$B$4:$E$78,Uebersetzungen!$B$2+1,FALSE)</f>
        <v>Schweden</v>
      </c>
      <c r="B26" s="5"/>
      <c r="C26" s="51">
        <v>3015</v>
      </c>
      <c r="D26" s="52">
        <v>2524</v>
      </c>
      <c r="E26" s="53">
        <f t="shared" si="0"/>
        <v>0.19453248811410462</v>
      </c>
      <c r="F26" s="72">
        <v>-1.989467524868338E-2</v>
      </c>
      <c r="G26" s="76">
        <v>5125</v>
      </c>
      <c r="H26" s="52">
        <v>4372</v>
      </c>
      <c r="I26" s="53">
        <f t="shared" si="1"/>
        <v>0.17223238792314732</v>
      </c>
      <c r="J26" s="54">
        <v>8.0038776026300384E-2</v>
      </c>
    </row>
    <row r="27" spans="1:10" x14ac:dyDescent="0.2">
      <c r="A27" s="24" t="str">
        <f>VLOOKUP("&lt;Zeilentitel_15&gt;",Uebersetzungen!$B$4:$E$78,Uebersetzungen!$B$2+1,FALSE)</f>
        <v>Norwegen</v>
      </c>
      <c r="B27" s="5"/>
      <c r="C27" s="51">
        <v>931</v>
      </c>
      <c r="D27" s="52">
        <v>908</v>
      </c>
      <c r="E27" s="53">
        <f t="shared" si="0"/>
        <v>2.5330396475770955E-2</v>
      </c>
      <c r="F27" s="72">
        <v>-7.4552683896620286E-2</v>
      </c>
      <c r="G27" s="76">
        <v>1709</v>
      </c>
      <c r="H27" s="52">
        <v>1715</v>
      </c>
      <c r="I27" s="53">
        <f t="shared" si="1"/>
        <v>-3.4985422740524408E-3</v>
      </c>
      <c r="J27" s="54">
        <v>-1.7590250632329218E-2</v>
      </c>
    </row>
    <row r="28" spans="1:10" x14ac:dyDescent="0.2">
      <c r="A28" s="24" t="str">
        <f>VLOOKUP("&lt;Zeilentitel_16&gt;",Uebersetzungen!$B$4:$E$78,Uebersetzungen!$B$2+1,FALSE)</f>
        <v>Dänemark</v>
      </c>
      <c r="B28" s="5"/>
      <c r="C28" s="51">
        <v>2455</v>
      </c>
      <c r="D28" s="52">
        <v>2494</v>
      </c>
      <c r="E28" s="53">
        <f t="shared" si="0"/>
        <v>-1.5637530072173167E-2</v>
      </c>
      <c r="F28" s="72">
        <v>-0.26311682074678833</v>
      </c>
      <c r="G28" s="76">
        <v>3540</v>
      </c>
      <c r="H28" s="52">
        <v>3689</v>
      </c>
      <c r="I28" s="53">
        <f t="shared" si="1"/>
        <v>-4.0390349688262384E-2</v>
      </c>
      <c r="J28" s="54">
        <v>-0.16928708875017595</v>
      </c>
    </row>
    <row r="29" spans="1:10" x14ac:dyDescent="0.2">
      <c r="A29" s="24" t="str">
        <f>VLOOKUP("&lt;Zeilentitel_17&gt;",Uebersetzungen!$B$4:$E$78,Uebersetzungen!$B$2+1,FALSE)</f>
        <v>Finnland</v>
      </c>
      <c r="B29" s="5"/>
      <c r="C29" s="51">
        <v>1201</v>
      </c>
      <c r="D29" s="52">
        <v>1389</v>
      </c>
      <c r="E29" s="53">
        <f t="shared" si="0"/>
        <v>-0.13534917206623465</v>
      </c>
      <c r="F29" s="72">
        <v>-0.20294664189009815</v>
      </c>
      <c r="G29" s="76">
        <v>1993</v>
      </c>
      <c r="H29" s="52">
        <v>2112</v>
      </c>
      <c r="I29" s="53">
        <f t="shared" si="1"/>
        <v>-5.6344696969697017E-2</v>
      </c>
      <c r="J29" s="54">
        <v>-2.015732546705995E-2</v>
      </c>
    </row>
    <row r="30" spans="1:10" x14ac:dyDescent="0.2">
      <c r="A30" s="24" t="str">
        <f>VLOOKUP("&lt;Zeilentitel_18&gt;",Uebersetzungen!$B$4:$E$78,Uebersetzungen!$B$2+1,FALSE)</f>
        <v>Japan</v>
      </c>
      <c r="B30" s="5"/>
      <c r="C30" s="51">
        <v>606</v>
      </c>
      <c r="D30" s="52">
        <v>420</v>
      </c>
      <c r="E30" s="53">
        <f t="shared" si="0"/>
        <v>0.44285714285714284</v>
      </c>
      <c r="F30" s="72">
        <v>0.63254310344827602</v>
      </c>
      <c r="G30" s="76">
        <v>1569</v>
      </c>
      <c r="H30" s="52">
        <v>1416</v>
      </c>
      <c r="I30" s="53">
        <f t="shared" si="1"/>
        <v>0.10805084745762716</v>
      </c>
      <c r="J30" s="54">
        <v>0.32853513971210835</v>
      </c>
    </row>
    <row r="31" spans="1:10" x14ac:dyDescent="0.2">
      <c r="A31" s="24" t="str">
        <f>VLOOKUP("&lt;Zeilentitel_19&gt;",Uebersetzungen!$B$4:$E$78,Uebersetzungen!$B$2+1,FALSE)</f>
        <v>China / Hongkong / Taiwan (Chin. Taipei)</v>
      </c>
      <c r="B31" s="5"/>
      <c r="C31" s="51">
        <v>2272</v>
      </c>
      <c r="D31" s="52">
        <v>1184</v>
      </c>
      <c r="E31" s="53">
        <f t="shared" si="0"/>
        <v>0.91891891891891886</v>
      </c>
      <c r="F31" s="72">
        <v>0.4541730670762929</v>
      </c>
      <c r="G31" s="76">
        <v>4528</v>
      </c>
      <c r="H31" s="52">
        <v>3238</v>
      </c>
      <c r="I31" s="53">
        <f t="shared" si="1"/>
        <v>0.39839407041383579</v>
      </c>
      <c r="J31" s="54">
        <v>0.17482227180737886</v>
      </c>
    </row>
    <row r="32" spans="1:10" x14ac:dyDescent="0.2">
      <c r="A32" s="24" t="str">
        <f>VLOOKUP("&lt;Zeilentitel_20&gt;",Uebersetzungen!$B$4:$E$78,Uebersetzungen!$B$2+1,FALSE)</f>
        <v xml:space="preserve">Indien </v>
      </c>
      <c r="B32" s="5"/>
      <c r="C32" s="59">
        <v>510</v>
      </c>
      <c r="D32" s="52">
        <v>311</v>
      </c>
      <c r="E32" s="53">
        <f t="shared" si="0"/>
        <v>0.63987138263665599</v>
      </c>
      <c r="F32" s="72">
        <v>-0.58724506312722569</v>
      </c>
      <c r="G32" s="77">
        <v>1775</v>
      </c>
      <c r="H32" s="52">
        <v>1299</v>
      </c>
      <c r="I32" s="53">
        <f t="shared" si="1"/>
        <v>0.36643571978444966</v>
      </c>
      <c r="J32" s="54">
        <v>-8.4390797482719493E-2</v>
      </c>
    </row>
    <row r="33" spans="1:10" x14ac:dyDescent="0.2">
      <c r="A33" s="24" t="str">
        <f>VLOOKUP("&lt;Zeilentitel_21&gt;",Uebersetzungen!$B$4:$E$78,Uebersetzungen!$B$2+1,FALSE)</f>
        <v>Brasilien</v>
      </c>
      <c r="B33" s="5"/>
      <c r="C33" s="51">
        <v>4628</v>
      </c>
      <c r="D33" s="52">
        <v>4040</v>
      </c>
      <c r="E33" s="53">
        <f t="shared" si="0"/>
        <v>0.14554455445544545</v>
      </c>
      <c r="F33" s="72">
        <v>0.5243741765480896</v>
      </c>
      <c r="G33" s="76">
        <v>15525</v>
      </c>
      <c r="H33" s="52">
        <v>11938</v>
      </c>
      <c r="I33" s="53">
        <f t="shared" si="1"/>
        <v>0.30046909029988278</v>
      </c>
      <c r="J33" s="54">
        <v>0.81455854508053038</v>
      </c>
    </row>
    <row r="34" spans="1:10" x14ac:dyDescent="0.2">
      <c r="A34" s="24" t="str">
        <f>VLOOKUP("&lt;Zeilentitel_22&gt;",Uebersetzungen!$B$4:$E$78,Uebersetzungen!$B$2+1,FALSE)</f>
        <v>Golfstaaten</v>
      </c>
      <c r="B34" s="5"/>
      <c r="C34" s="59">
        <v>5774</v>
      </c>
      <c r="D34" s="55">
        <v>2847</v>
      </c>
      <c r="E34" s="53">
        <f t="shared" si="0"/>
        <v>1.0280997541271515</v>
      </c>
      <c r="F34" s="72">
        <v>2.0673608159796002</v>
      </c>
      <c r="G34" s="77">
        <v>10440</v>
      </c>
      <c r="H34" s="55">
        <v>5672</v>
      </c>
      <c r="I34" s="53">
        <f t="shared" si="1"/>
        <v>0.84062059238363895</v>
      </c>
      <c r="J34" s="54">
        <v>1.7862289831865494</v>
      </c>
    </row>
    <row r="35" spans="1:10" x14ac:dyDescent="0.2">
      <c r="A35" s="24" t="str">
        <f>VLOOKUP("&lt;Zeilentitel_23&gt;",Uebersetzungen!$B$4:$E$78,Uebersetzungen!$B$2+1,FALSE)</f>
        <v>Übrige Herkunftsländer</v>
      </c>
      <c r="B35" s="5"/>
      <c r="C35" s="56">
        <f>C36-SUM(C13:C34)</f>
        <v>32165</v>
      </c>
      <c r="D35" s="57">
        <f>D36-SUM(D13:D34)</f>
        <v>30446</v>
      </c>
      <c r="E35" s="53">
        <f t="shared" si="0"/>
        <v>5.646061880049924E-2</v>
      </c>
      <c r="F35" s="73" t="s">
        <v>50</v>
      </c>
      <c r="G35" s="78">
        <f>G36-SUM(G13:G34)</f>
        <v>74376</v>
      </c>
      <c r="H35" s="57">
        <f>H36-SUM(H13:H34)</f>
        <v>68874</v>
      </c>
      <c r="I35" s="53">
        <f t="shared" si="1"/>
        <v>7.9885007404826291E-2</v>
      </c>
      <c r="J35" s="58" t="s">
        <v>50</v>
      </c>
    </row>
    <row r="36" spans="1:10" ht="13.5" thickBot="1" x14ac:dyDescent="0.25">
      <c r="A36" s="26" t="str">
        <f>VLOOKUP("&lt;Zeilentitel_24&gt;",Uebersetzungen!$B$4:$E$78,Uebersetzungen!$B$2+1,FALSE)</f>
        <v>Graubünden</v>
      </c>
      <c r="B36" s="25"/>
      <c r="C36" s="30">
        <f>C61</f>
        <v>840340</v>
      </c>
      <c r="D36" s="19">
        <f>D61</f>
        <v>808284</v>
      </c>
      <c r="E36" s="12">
        <f t="shared" si="0"/>
        <v>3.9659327662059374E-2</v>
      </c>
      <c r="F36" s="74">
        <f>F61</f>
        <v>8.8790436410176365E-2</v>
      </c>
      <c r="G36" s="79">
        <f t="shared" ref="G36:H36" si="2">G61</f>
        <v>1560707</v>
      </c>
      <c r="H36" s="19">
        <f t="shared" si="2"/>
        <v>1505713</v>
      </c>
      <c r="I36" s="12">
        <f t="shared" si="1"/>
        <v>3.6523560598865856E-2</v>
      </c>
      <c r="J36" s="47">
        <f>J61</f>
        <v>0.13999069721509572</v>
      </c>
    </row>
    <row r="37" spans="1:10" x14ac:dyDescent="0.2">
      <c r="C37" s="15"/>
      <c r="D37" s="16"/>
      <c r="E37" s="28"/>
      <c r="F37" s="27"/>
      <c r="I37" s="15"/>
      <c r="J37" s="15"/>
    </row>
    <row r="38" spans="1:10" x14ac:dyDescent="0.2">
      <c r="C38" s="15"/>
    </row>
    <row r="39" spans="1:10" ht="18" x14ac:dyDescent="0.25">
      <c r="A39" s="2" t="str">
        <f>VLOOKUP("&lt;T2Titel2&gt;",Uebersetzungen!$B$4:$E$304,Uebersetzungen!$B$2+1,FALSE)</f>
        <v>Hotel- und Kurbetriebe: Logiernächte im Februar 2024, nach Destinationen</v>
      </c>
      <c r="B39" s="3"/>
      <c r="C39" s="3"/>
      <c r="D39" s="3"/>
      <c r="E39" s="3"/>
      <c r="F39" s="3"/>
    </row>
    <row r="40" spans="1:10" s="123" customFormat="1" x14ac:dyDescent="0.2">
      <c r="A40" s="120" t="str">
        <f>VLOOKUP("&lt;Titelprov&gt;",Uebersetzungen!$B$4:$E$304,Uebersetzungen!$B$2+1,FALSE)</f>
        <v>definitive Ergebnisse</v>
      </c>
      <c r="B40" s="121"/>
      <c r="C40" s="122"/>
      <c r="D40" s="122"/>
      <c r="E40" s="122"/>
      <c r="F40" s="122"/>
      <c r="G40" s="122"/>
    </row>
    <row r="41" spans="1:10" ht="13.5" thickBot="1" x14ac:dyDescent="0.25"/>
    <row r="42" spans="1:10" ht="51" x14ac:dyDescent="0.2">
      <c r="A42" s="8"/>
      <c r="B42" s="9"/>
      <c r="C42" s="20" t="str">
        <f>VLOOKUP("&lt;T2SpaltenTitel_1&gt;",Uebersetzungen!$B$4:$E$304,Uebersetzungen!$B$2+1,FALSE)</f>
        <v>Februar 2024</v>
      </c>
      <c r="D42" s="21" t="str">
        <f>VLOOKUP("&lt;T2SpaltenTitel_2&gt;",Uebersetzungen!$B$4:$E$304,Uebersetzungen!$B$2+1,FALSE)</f>
        <v>Februar 2023</v>
      </c>
      <c r="E42" s="22" t="str">
        <f>VLOOKUP("&lt;SpaltenTitel_3&gt;",Uebersetzungen!$B$4:$E$304,Uebersetzungen!$B$2+1,FALSE)</f>
        <v>Veränderung 24/23 in %</v>
      </c>
      <c r="F42" s="22" t="str">
        <f>VLOOKUP("&lt;SpaltenTitel_4&gt;",Uebersetzungen!$B$4:$E$304,Uebersetzungen!$B$2+1,FALSE)</f>
        <v>Veränderung zum
5-Jahresmittel 
in %</v>
      </c>
      <c r="G42" s="75" t="str">
        <f>VLOOKUP("&lt;T2SpaltenTitel_5&gt;",Uebersetzungen!$B$4:$E$304,Uebersetzungen!$B$2+1,FALSE)</f>
        <v>Januar-Februar 24</v>
      </c>
      <c r="H42" s="22" t="str">
        <f>VLOOKUP("&lt;T2SpaltenTitel_6&gt;",Uebersetzungen!$B$4:$E$304,Uebersetzungen!$B$2+1,FALSE)</f>
        <v>Januar-Februar 23</v>
      </c>
      <c r="I42" s="22" t="str">
        <f>VLOOKUP("&lt;SpaltenTitel_7&gt;",Uebersetzungen!$B$4:$E$304,Uebersetzungen!$B$2+1,FALSE)</f>
        <v>Veränderung 24/23 in %</v>
      </c>
      <c r="J42" s="23" t="str">
        <f>VLOOKUP("&lt;SpaltenTitel_8&gt;",Uebersetzungen!$B$4:$E$304,Uebersetzungen!$B$2+1,FALSE)</f>
        <v>Veränderung zum
5-Jahresmittel 
in %</v>
      </c>
    </row>
    <row r="43" spans="1:10" x14ac:dyDescent="0.2">
      <c r="A43" s="24" t="str">
        <f>VLOOKUP("&lt;Zeilentitel_25&gt;",Uebersetzungen!$B$4:$E$78,Uebersetzungen!$B$2+1,FALSE)</f>
        <v>Arosa</v>
      </c>
      <c r="B43" s="5"/>
      <c r="C43" s="13">
        <v>84507</v>
      </c>
      <c r="D43" s="17">
        <v>83478</v>
      </c>
      <c r="E43" s="10">
        <f>C43/D43-1</f>
        <v>1.2326601020628214E-2</v>
      </c>
      <c r="F43" s="80">
        <v>0.11342268084702711</v>
      </c>
      <c r="G43" s="83">
        <v>157519</v>
      </c>
      <c r="H43" s="17">
        <v>152798</v>
      </c>
      <c r="I43" s="10">
        <f>G43/H43-1</f>
        <v>3.0897001269650115E-2</v>
      </c>
      <c r="J43" s="44">
        <v>0.16704081557052142</v>
      </c>
    </row>
    <row r="44" spans="1:10" x14ac:dyDescent="0.2">
      <c r="A44" s="24" t="str">
        <f>VLOOKUP("&lt;Zeilentitel_26&gt;",Uebersetzungen!$B$4:$E$78,Uebersetzungen!$B$2+1,FALSE)</f>
        <v>Bergün Filisur</v>
      </c>
      <c r="B44" s="5"/>
      <c r="C44" s="13">
        <v>8385</v>
      </c>
      <c r="D44" s="17">
        <v>9180</v>
      </c>
      <c r="E44" s="10">
        <f t="shared" ref="E44:E61" si="3">C44/D44-1</f>
        <v>-8.6601307189542509E-2</v>
      </c>
      <c r="F44" s="80">
        <v>-7.3439710042432882E-2</v>
      </c>
      <c r="G44" s="83">
        <v>15613</v>
      </c>
      <c r="H44" s="17">
        <v>17960</v>
      </c>
      <c r="I44" s="10">
        <f t="shared" ref="I44:I61" si="4">G44/H44-1</f>
        <v>-0.13067928730512246</v>
      </c>
      <c r="J44" s="44">
        <v>-4.0687672040896627E-2</v>
      </c>
    </row>
    <row r="45" spans="1:10" x14ac:dyDescent="0.2">
      <c r="A45" s="24" t="str">
        <f>VLOOKUP("&lt;Zeilentitel_27&gt;",Uebersetzungen!$B$4:$E$78,Uebersetzungen!$B$2+1,FALSE)</f>
        <v>Bregaglia Engadin</v>
      </c>
      <c r="B45" s="5"/>
      <c r="C45" s="13">
        <v>6692</v>
      </c>
      <c r="D45" s="17">
        <v>5840</v>
      </c>
      <c r="E45" s="10">
        <f t="shared" si="3"/>
        <v>0.14589041095890409</v>
      </c>
      <c r="F45" s="80">
        <v>0.12082537768398471</v>
      </c>
      <c r="G45" s="83">
        <v>11813</v>
      </c>
      <c r="H45" s="17">
        <v>10449</v>
      </c>
      <c r="I45" s="10">
        <f t="shared" si="4"/>
        <v>0.13053880754139158</v>
      </c>
      <c r="J45" s="44">
        <v>0.19892418552725055</v>
      </c>
    </row>
    <row r="46" spans="1:10" x14ac:dyDescent="0.2">
      <c r="A46" s="24" t="str">
        <f>VLOOKUP("&lt;Zeilentitel_28&gt;",Uebersetzungen!$B$4:$E$78,Uebersetzungen!$B$2+1,FALSE)</f>
        <v>Bündner Herrschaft</v>
      </c>
      <c r="B46" s="5"/>
      <c r="C46" s="13">
        <v>3922</v>
      </c>
      <c r="D46" s="17">
        <v>4057</v>
      </c>
      <c r="E46" s="10">
        <f t="shared" si="3"/>
        <v>-3.3275819571111698E-2</v>
      </c>
      <c r="F46" s="80">
        <v>0.25672904383491413</v>
      </c>
      <c r="G46" s="83">
        <v>8038</v>
      </c>
      <c r="H46" s="17">
        <v>6892</v>
      </c>
      <c r="I46" s="10">
        <f t="shared" si="4"/>
        <v>0.16627974463145678</v>
      </c>
      <c r="J46" s="44">
        <v>0.39737839435346456</v>
      </c>
    </row>
    <row r="47" spans="1:10" x14ac:dyDescent="0.2">
      <c r="A47" s="24" t="str">
        <f>VLOOKUP("&lt;Zeilentitel_29&gt;",Uebersetzungen!$B$4:$E$78,Uebersetzungen!$B$2+1,FALSE)</f>
        <v>Chur</v>
      </c>
      <c r="B47" s="5"/>
      <c r="C47" s="13">
        <v>19858</v>
      </c>
      <c r="D47" s="17">
        <v>16403</v>
      </c>
      <c r="E47" s="10">
        <f t="shared" si="3"/>
        <v>0.21063220142656824</v>
      </c>
      <c r="F47" s="80">
        <v>0.34721845318860245</v>
      </c>
      <c r="G47" s="83">
        <v>37545</v>
      </c>
      <c r="H47" s="17">
        <v>31465</v>
      </c>
      <c r="I47" s="10">
        <f t="shared" si="4"/>
        <v>0.19323057365326557</v>
      </c>
      <c r="J47" s="44">
        <v>0.38578230539253688</v>
      </c>
    </row>
    <row r="48" spans="1:10" x14ac:dyDescent="0.2">
      <c r="A48" s="24" t="str">
        <f>VLOOKUP("&lt;Zeilentitel_30&gt;",Uebersetzungen!$B$4:$E$78,Uebersetzungen!$B$2+1,FALSE)</f>
        <v>Davos Klosters</v>
      </c>
      <c r="B48" s="5"/>
      <c r="C48" s="13">
        <v>150124</v>
      </c>
      <c r="D48" s="17">
        <v>145730</v>
      </c>
      <c r="E48" s="10">
        <f t="shared" si="3"/>
        <v>3.0151650312221223E-2</v>
      </c>
      <c r="F48" s="80">
        <v>-1.4750780329142787E-2</v>
      </c>
      <c r="G48" s="83">
        <v>283995</v>
      </c>
      <c r="H48" s="17">
        <v>278135</v>
      </c>
      <c r="I48" s="10">
        <f t="shared" si="4"/>
        <v>2.1068905387671366E-2</v>
      </c>
      <c r="J48" s="44">
        <v>7.3623110824806437E-2</v>
      </c>
    </row>
    <row r="49" spans="1:10" x14ac:dyDescent="0.2">
      <c r="A49" s="24" t="str">
        <f>VLOOKUP("&lt;Zeilentitel_31&gt;",Uebersetzungen!$B$4:$E$78,Uebersetzungen!$B$2+1,FALSE)</f>
        <v>Disentis Sedrun</v>
      </c>
      <c r="B49" s="5"/>
      <c r="C49" s="13">
        <v>29738</v>
      </c>
      <c r="D49" s="17">
        <v>28165</v>
      </c>
      <c r="E49" s="10">
        <f t="shared" si="3"/>
        <v>5.5849458547843067E-2</v>
      </c>
      <c r="F49" s="80">
        <v>0.37218530823181983</v>
      </c>
      <c r="G49" s="83">
        <v>48746</v>
      </c>
      <c r="H49" s="17">
        <v>46278</v>
      </c>
      <c r="I49" s="10">
        <f t="shared" si="4"/>
        <v>5.3329875966982243E-2</v>
      </c>
      <c r="J49" s="44">
        <v>0.39731807575662015</v>
      </c>
    </row>
    <row r="50" spans="1:10" x14ac:dyDescent="0.2">
      <c r="A50" s="24" t="str">
        <f>VLOOKUP("&lt;Zeilentitel_32&gt;",Uebersetzungen!$B$4:$E$78,Uebersetzungen!$B$2+1,FALSE)</f>
        <v>Scuol Samnaun Val Müstair</v>
      </c>
      <c r="B50" s="5"/>
      <c r="C50" s="13">
        <v>80613</v>
      </c>
      <c r="D50" s="17">
        <v>74155</v>
      </c>
      <c r="E50" s="10">
        <f t="shared" si="3"/>
        <v>8.7087856516755435E-2</v>
      </c>
      <c r="F50" s="80">
        <v>0.11303029549916732</v>
      </c>
      <c r="G50" s="83">
        <v>144940</v>
      </c>
      <c r="H50" s="17">
        <v>137389</v>
      </c>
      <c r="I50" s="10">
        <f t="shared" si="4"/>
        <v>5.4960731936326779E-2</v>
      </c>
      <c r="J50" s="44">
        <v>0.14981373239660067</v>
      </c>
    </row>
    <row r="51" spans="1:10" x14ac:dyDescent="0.2">
      <c r="A51" s="24" t="str">
        <f>VLOOKUP("&lt;Zeilentitel_33&gt;",Uebersetzungen!$B$4:$E$78,Uebersetzungen!$B$2+1,FALSE)</f>
        <v>Engadin St. Moritz</v>
      </c>
      <c r="B51" s="5"/>
      <c r="C51" s="13">
        <v>249182</v>
      </c>
      <c r="D51" s="17">
        <v>234994</v>
      </c>
      <c r="E51" s="10">
        <f t="shared" si="3"/>
        <v>6.0376009600245029E-2</v>
      </c>
      <c r="F51" s="80">
        <v>0.14751727847448382</v>
      </c>
      <c r="G51" s="83">
        <v>471190</v>
      </c>
      <c r="H51" s="17">
        <v>449183</v>
      </c>
      <c r="I51" s="10">
        <f t="shared" si="4"/>
        <v>4.8993394674331059E-2</v>
      </c>
      <c r="J51" s="44">
        <v>0.18251408029722094</v>
      </c>
    </row>
    <row r="52" spans="1:10" x14ac:dyDescent="0.2">
      <c r="A52" s="24" t="str">
        <f>VLOOKUP("&lt;Zeilentitel_34&gt;",Uebersetzungen!$B$4:$E$78,Uebersetzungen!$B$2+1,FALSE)</f>
        <v>Flims Laax</v>
      </c>
      <c r="B52" s="5"/>
      <c r="C52" s="13">
        <v>80085</v>
      </c>
      <c r="D52" s="17">
        <v>82275</v>
      </c>
      <c r="E52" s="10">
        <f t="shared" si="3"/>
        <v>-2.6618049225159535E-2</v>
      </c>
      <c r="F52" s="80">
        <v>5.822555242686045E-3</v>
      </c>
      <c r="G52" s="83">
        <v>147671</v>
      </c>
      <c r="H52" s="17">
        <v>150957</v>
      </c>
      <c r="I52" s="10">
        <f t="shared" si="4"/>
        <v>-2.1767788178090441E-2</v>
      </c>
      <c r="J52" s="44">
        <v>3.248527528093037E-2</v>
      </c>
    </row>
    <row r="53" spans="1:10" x14ac:dyDescent="0.2">
      <c r="A53" s="24" t="str">
        <f>VLOOKUP("&lt;Zeilentitel_35&gt;",Uebersetzungen!$B$4:$E$78,Uebersetzungen!$B$2+1,FALSE)</f>
        <v>Lenzerheide</v>
      </c>
      <c r="B53" s="5"/>
      <c r="C53" s="13">
        <v>54198</v>
      </c>
      <c r="D53" s="17">
        <v>54028</v>
      </c>
      <c r="E53" s="10">
        <f t="shared" si="3"/>
        <v>3.1465166210113971E-3</v>
      </c>
      <c r="F53" s="80">
        <v>-1.9960814931573312E-3</v>
      </c>
      <c r="G53" s="83">
        <v>103342</v>
      </c>
      <c r="H53" s="17">
        <v>101587</v>
      </c>
      <c r="I53" s="10">
        <f t="shared" si="4"/>
        <v>1.7275832537627878E-2</v>
      </c>
      <c r="J53" s="44">
        <v>6.4387283629929071E-2</v>
      </c>
    </row>
    <row r="54" spans="1:10" x14ac:dyDescent="0.2">
      <c r="A54" s="24" t="str">
        <f>VLOOKUP("&lt;Zeilentitel_36&gt;",Uebersetzungen!$B$4:$E$78,Uebersetzungen!$B$2+1,FALSE)</f>
        <v>Prättigau</v>
      </c>
      <c r="B54" s="5"/>
      <c r="C54" s="13">
        <v>13119</v>
      </c>
      <c r="D54" s="17">
        <v>13465</v>
      </c>
      <c r="E54" s="10">
        <f t="shared" si="3"/>
        <v>-2.5696249535833604E-2</v>
      </c>
      <c r="F54" s="80">
        <v>0.25083427089491028</v>
      </c>
      <c r="G54" s="83">
        <v>23274</v>
      </c>
      <c r="H54" s="17">
        <v>23531</v>
      </c>
      <c r="I54" s="10">
        <f t="shared" si="4"/>
        <v>-1.0921762781012312E-2</v>
      </c>
      <c r="J54" s="44">
        <v>0.26593707845611569</v>
      </c>
    </row>
    <row r="55" spans="1:10" x14ac:dyDescent="0.2">
      <c r="A55" s="24" t="str">
        <f>VLOOKUP("&lt;Zeilentitel_37&gt;",Uebersetzungen!$B$4:$E$78,Uebersetzungen!$B$2+1,FALSE)</f>
        <v>San Bernardino, Mesolcina/Calanca</v>
      </c>
      <c r="B55" s="5"/>
      <c r="C55" s="13">
        <v>2834</v>
      </c>
      <c r="D55" s="17">
        <v>2302</v>
      </c>
      <c r="E55" s="10">
        <f t="shared" si="3"/>
        <v>0.23110338835794964</v>
      </c>
      <c r="F55" s="80">
        <v>0.14403358630712093</v>
      </c>
      <c r="G55" s="83">
        <v>4923</v>
      </c>
      <c r="H55" s="17">
        <v>4497</v>
      </c>
      <c r="I55" s="10">
        <f t="shared" si="4"/>
        <v>9.4729819879920019E-2</v>
      </c>
      <c r="J55" s="44">
        <v>0.1076362327318543</v>
      </c>
    </row>
    <row r="56" spans="1:10" x14ac:dyDescent="0.2">
      <c r="A56" s="24" t="str">
        <f>VLOOKUP("&lt;Zeilentitel_38&gt;",Uebersetzungen!$B$4:$E$78,Uebersetzungen!$B$2+1,FALSE)</f>
        <v>Val Surses</v>
      </c>
      <c r="B56" s="5"/>
      <c r="C56" s="13">
        <v>15324</v>
      </c>
      <c r="D56" s="17">
        <v>14956</v>
      </c>
      <c r="E56" s="10">
        <f t="shared" si="3"/>
        <v>2.460550949451723E-2</v>
      </c>
      <c r="F56" s="80">
        <v>0.16651188283117402</v>
      </c>
      <c r="G56" s="83">
        <v>28428</v>
      </c>
      <c r="H56" s="17">
        <v>26342</v>
      </c>
      <c r="I56" s="10">
        <f t="shared" si="4"/>
        <v>7.9189127628881639E-2</v>
      </c>
      <c r="J56" s="44">
        <v>0.3030922542377541</v>
      </c>
    </row>
    <row r="57" spans="1:10" x14ac:dyDescent="0.2">
      <c r="A57" s="24" t="str">
        <f>VLOOKUP("&lt;Zeilentitel_39&gt;",Uebersetzungen!$B$4:$E$78,Uebersetzungen!$B$2+1,FALSE)</f>
        <v>Surselva</v>
      </c>
      <c r="B57" s="5"/>
      <c r="C57" s="13">
        <v>17149</v>
      </c>
      <c r="D57" s="17">
        <v>16738</v>
      </c>
      <c r="E57" s="10">
        <f t="shared" si="3"/>
        <v>2.455490500657187E-2</v>
      </c>
      <c r="F57" s="80">
        <v>-2.8836461247465861E-2</v>
      </c>
      <c r="G57" s="83">
        <v>30938</v>
      </c>
      <c r="H57" s="17">
        <v>29183</v>
      </c>
      <c r="I57" s="10">
        <f t="shared" si="4"/>
        <v>6.0137751430627384E-2</v>
      </c>
      <c r="J57" s="44">
        <v>3.9562374414494395E-2</v>
      </c>
    </row>
    <row r="58" spans="1:10" x14ac:dyDescent="0.2">
      <c r="A58" s="24" t="str">
        <f>VLOOKUP("&lt;Zeilentitel_40&gt;",Uebersetzungen!$B$4:$E$78,Uebersetzungen!$B$2+1,FALSE)</f>
        <v>Valposchiavo</v>
      </c>
      <c r="B58" s="5"/>
      <c r="C58" s="13">
        <v>3660</v>
      </c>
      <c r="D58" s="17">
        <v>3021</v>
      </c>
      <c r="E58" s="10">
        <f t="shared" si="3"/>
        <v>0.21151936444885799</v>
      </c>
      <c r="F58" s="80">
        <v>0.45933014354066981</v>
      </c>
      <c r="G58" s="83">
        <v>6518</v>
      </c>
      <c r="H58" s="17">
        <v>5760</v>
      </c>
      <c r="I58" s="10">
        <f t="shared" si="4"/>
        <v>0.13159722222222214</v>
      </c>
      <c r="J58" s="44">
        <v>0.46676268058868531</v>
      </c>
    </row>
    <row r="59" spans="1:10" x14ac:dyDescent="0.2">
      <c r="A59" s="24" t="str">
        <f>VLOOKUP("&lt;Zeilentitel_41&gt;",Uebersetzungen!$B$4:$E$78,Uebersetzungen!$B$2+1,FALSE)</f>
        <v>Vals</v>
      </c>
      <c r="B59" s="5"/>
      <c r="C59" s="13">
        <v>9516</v>
      </c>
      <c r="D59" s="17">
        <v>9161</v>
      </c>
      <c r="E59" s="10">
        <f t="shared" si="3"/>
        <v>3.8751228031874252E-2</v>
      </c>
      <c r="F59" s="80">
        <v>5.088788762258134E-2</v>
      </c>
      <c r="G59" s="83">
        <v>17178</v>
      </c>
      <c r="H59" s="17">
        <v>16600</v>
      </c>
      <c r="I59" s="10">
        <f t="shared" si="4"/>
        <v>3.4819277108433688E-2</v>
      </c>
      <c r="J59" s="44">
        <v>8.075800281860257E-2</v>
      </c>
    </row>
    <row r="60" spans="1:10" x14ac:dyDescent="0.2">
      <c r="A60" s="24" t="str">
        <f>VLOOKUP("&lt;Zeilentitel_42&gt;",Uebersetzungen!$B$4:$E$78,Uebersetzungen!$B$2+1,FALSE)</f>
        <v>Viamala</v>
      </c>
      <c r="B60" s="7"/>
      <c r="C60" s="14">
        <v>11434</v>
      </c>
      <c r="D60" s="18">
        <v>10336</v>
      </c>
      <c r="E60" s="11">
        <f t="shared" si="3"/>
        <v>0.10623065015479871</v>
      </c>
      <c r="F60" s="81">
        <v>0.12528294459206779</v>
      </c>
      <c r="G60" s="84">
        <v>19036</v>
      </c>
      <c r="H60" s="18">
        <v>16707</v>
      </c>
      <c r="I60" s="11">
        <f t="shared" si="4"/>
        <v>0.13940264559765358</v>
      </c>
      <c r="J60" s="46">
        <v>0.16633580864152142</v>
      </c>
    </row>
    <row r="61" spans="1:10" ht="13.5" thickBot="1" x14ac:dyDescent="0.25">
      <c r="A61" s="26" t="str">
        <f>VLOOKUP("&lt;Zeilentitel_43&gt;",Uebersetzungen!$B$4:$E$78,Uebersetzungen!$B$2+1,FALSE)</f>
        <v>Graubünden</v>
      </c>
      <c r="B61" s="6"/>
      <c r="C61" s="30">
        <v>840340</v>
      </c>
      <c r="D61" s="40">
        <v>808284</v>
      </c>
      <c r="E61" s="65">
        <f t="shared" si="3"/>
        <v>3.9659327662059374E-2</v>
      </c>
      <c r="F61" s="82">
        <v>8.8790436410176365E-2</v>
      </c>
      <c r="G61" s="79">
        <v>1560707</v>
      </c>
      <c r="H61" s="40">
        <v>1505713</v>
      </c>
      <c r="I61" s="65">
        <f t="shared" si="4"/>
        <v>3.6523560598865856E-2</v>
      </c>
      <c r="J61" s="66">
        <v>0.13999069721509572</v>
      </c>
    </row>
    <row r="63" spans="1:10" x14ac:dyDescent="0.2">
      <c r="A63" s="4" t="str">
        <f>VLOOKUP("&lt;Legende_1&gt;",Uebersetzungen!$B$4:$E$80,Uebersetzungen!$B$2+1,FALSE)</f>
        <v>Aktuelle Zuordnung der politischen Gemeinden zu Destinationen:</v>
      </c>
      <c r="E63" s="67" t="s">
        <v>214</v>
      </c>
      <c r="F63" s="49"/>
    </row>
    <row r="65" spans="1:10" ht="10.5" customHeight="1" x14ac:dyDescent="0.2"/>
    <row r="66" spans="1:10" ht="18" x14ac:dyDescent="0.25">
      <c r="A66" s="2" t="str">
        <f>VLOOKUP("&lt;T2Titel3&gt;",Uebersetzungen!$B$4:$E$304,Uebersetzungen!$B$2+1,FALSE)</f>
        <v>Hotel- und Kurbetriebe: Logiernächte im Februar 2024, nach Schweizer Tourismusregionen</v>
      </c>
      <c r="B66" s="3"/>
      <c r="C66" s="3"/>
      <c r="D66" s="3"/>
      <c r="E66" s="3"/>
      <c r="F66" s="3"/>
    </row>
    <row r="67" spans="1:10" s="123" customFormat="1" x14ac:dyDescent="0.2">
      <c r="A67" s="120" t="str">
        <f>VLOOKUP("&lt;Titelprov&gt;",Uebersetzungen!$B$4:$E$304,Uebersetzungen!$B$2+1,FALSE)</f>
        <v>definitive Ergebnisse</v>
      </c>
      <c r="B67" s="121"/>
      <c r="C67" s="122"/>
      <c r="D67" s="122"/>
      <c r="E67" s="122"/>
      <c r="F67" s="122"/>
      <c r="G67" s="122"/>
    </row>
    <row r="68" spans="1:10" ht="18.75" customHeight="1" thickBot="1" x14ac:dyDescent="0.3">
      <c r="A68" s="50"/>
    </row>
    <row r="69" spans="1:10" ht="51" x14ac:dyDescent="0.2">
      <c r="A69" s="8"/>
      <c r="B69" s="9"/>
      <c r="C69" s="20" t="str">
        <f>VLOOKUP("&lt;T2SpaltenTitel_1&gt;",Uebersetzungen!$B$4:$E$304,Uebersetzungen!$B$2+1,FALSE)</f>
        <v>Februar 2024</v>
      </c>
      <c r="D69" s="21" t="str">
        <f>VLOOKUP("&lt;T2SpaltenTitel_2&gt;",Uebersetzungen!$B$4:$E$304,Uebersetzungen!$B$2+1,FALSE)</f>
        <v>Februar 2023</v>
      </c>
      <c r="E69" s="22" t="str">
        <f>VLOOKUP("&lt;SpaltenTitel_3&gt;",Uebersetzungen!$B$4:$E$304,Uebersetzungen!$B$2+1,FALSE)</f>
        <v>Veränderung 24/23 in %</v>
      </c>
      <c r="F69" s="22" t="str">
        <f>VLOOKUP("&lt;SpaltenTitel_4&gt;",Uebersetzungen!$B$4:$E$304,Uebersetzungen!$B$2+1,FALSE)</f>
        <v>Veränderung zum
5-Jahresmittel 
in %</v>
      </c>
      <c r="G69" s="75" t="str">
        <f>VLOOKUP("&lt;T2SpaltenTitel_5&gt;",Uebersetzungen!$B$4:$E$304,Uebersetzungen!$B$2+1,FALSE)</f>
        <v>Januar-Februar 24</v>
      </c>
      <c r="H69" s="22" t="str">
        <f>VLOOKUP("&lt;T2SpaltenTitel_6&gt;",Uebersetzungen!$B$4:$E$304,Uebersetzungen!$B$2+1,FALSE)</f>
        <v>Januar-Februar 23</v>
      </c>
      <c r="I69" s="22" t="str">
        <f>VLOOKUP("&lt;SpaltenTitel_7&gt;",Uebersetzungen!$B$4:$E$304,Uebersetzungen!$B$2+1,FALSE)</f>
        <v>Veränderung 24/23 in %</v>
      </c>
      <c r="J69" s="23" t="str">
        <f>VLOOKUP("&lt;SpaltenTitel_8&gt;",Uebersetzungen!$B$4:$E$304,Uebersetzungen!$B$2+1,FALSE)</f>
        <v>Veränderung zum
5-Jahresmittel 
in %</v>
      </c>
    </row>
    <row r="70" spans="1:10" x14ac:dyDescent="0.2">
      <c r="A70" s="24" t="str">
        <f>VLOOKUP("&lt;Zeilentitel_44&gt;",Uebersetzungen!$B$4:$E$78,Uebersetzungen!$B$2+1,FALSE)</f>
        <v>Aargau und Solothurn Region</v>
      </c>
      <c r="B70" s="5"/>
      <c r="C70" s="13">
        <v>73108</v>
      </c>
      <c r="D70" s="17">
        <v>66315</v>
      </c>
      <c r="E70" s="10">
        <f>C70/D70-1</f>
        <v>0.10243534645253716</v>
      </c>
      <c r="F70" s="80">
        <v>0.28725318608721362</v>
      </c>
      <c r="G70" s="83">
        <v>144160</v>
      </c>
      <c r="H70" s="17">
        <v>135732</v>
      </c>
      <c r="I70" s="10">
        <f>G70/H70-1</f>
        <v>6.2092947867857351E-2</v>
      </c>
      <c r="J70" s="44">
        <v>0.28359006321787916</v>
      </c>
    </row>
    <row r="71" spans="1:10" x14ac:dyDescent="0.2">
      <c r="A71" s="24" t="str">
        <f>VLOOKUP("&lt;Zeilentitel_45&gt;",Uebersetzungen!$B$4:$E$78,Uebersetzungen!$B$2+1,FALSE)</f>
        <v>Basel Region</v>
      </c>
      <c r="B71" s="5"/>
      <c r="C71" s="13">
        <v>107768</v>
      </c>
      <c r="D71" s="17">
        <v>102012</v>
      </c>
      <c r="E71" s="10">
        <f t="shared" ref="E71:E83" si="5">C71/D71-1</f>
        <v>5.6424734344979077E-2</v>
      </c>
      <c r="F71" s="80">
        <v>0.3564800596122184</v>
      </c>
      <c r="G71" s="83">
        <v>208454</v>
      </c>
      <c r="H71" s="17">
        <v>193689</v>
      </c>
      <c r="I71" s="10">
        <f t="shared" ref="I71:I83" si="6">G71/H71-1</f>
        <v>7.6230451910020758E-2</v>
      </c>
      <c r="J71" s="44">
        <v>0.35808791145788543</v>
      </c>
    </row>
    <row r="72" spans="1:10" x14ac:dyDescent="0.2">
      <c r="A72" s="24" t="str">
        <f>VLOOKUP("&lt;Zeilentitel_46&gt;",Uebersetzungen!$B$4:$E$78,Uebersetzungen!$B$2+1,FALSE)</f>
        <v>Bern Region</v>
      </c>
      <c r="B72" s="5"/>
      <c r="C72" s="13">
        <v>463637</v>
      </c>
      <c r="D72" s="17">
        <v>447522</v>
      </c>
      <c r="E72" s="10">
        <f t="shared" si="5"/>
        <v>3.6009402889690234E-2</v>
      </c>
      <c r="F72" s="80">
        <v>0.16105991602770886</v>
      </c>
      <c r="G72" s="83">
        <v>863752</v>
      </c>
      <c r="H72" s="17">
        <v>840177</v>
      </c>
      <c r="I72" s="10">
        <f t="shared" si="6"/>
        <v>2.8059563639566409E-2</v>
      </c>
      <c r="J72" s="44">
        <v>0.19640101246802777</v>
      </c>
    </row>
    <row r="73" spans="1:10" x14ac:dyDescent="0.2">
      <c r="A73" s="24" t="str">
        <f>VLOOKUP("&lt;Zeilentitel_47&gt;",Uebersetzungen!$B$4:$E$78,Uebersetzungen!$B$2+1,FALSE)</f>
        <v>Fribourg Region</v>
      </c>
      <c r="B73" s="5"/>
      <c r="C73" s="13">
        <v>29759</v>
      </c>
      <c r="D73" s="17">
        <v>30621</v>
      </c>
      <c r="E73" s="10">
        <f t="shared" si="5"/>
        <v>-2.8150615590607719E-2</v>
      </c>
      <c r="F73" s="80">
        <v>0.17025041683707176</v>
      </c>
      <c r="G73" s="83">
        <v>59818</v>
      </c>
      <c r="H73" s="17">
        <v>58747</v>
      </c>
      <c r="I73" s="10">
        <f t="shared" si="6"/>
        <v>1.823071816433175E-2</v>
      </c>
      <c r="J73" s="44">
        <v>0.24182572338455555</v>
      </c>
    </row>
    <row r="74" spans="1:10" x14ac:dyDescent="0.2">
      <c r="A74" s="24" t="str">
        <f>VLOOKUP("&lt;Zeilentitel_48&gt;",Uebersetzungen!$B$4:$E$78,Uebersetzungen!$B$2+1,FALSE)</f>
        <v>Genf</v>
      </c>
      <c r="B74" s="5"/>
      <c r="C74" s="13">
        <v>248121</v>
      </c>
      <c r="D74" s="17">
        <v>220323</v>
      </c>
      <c r="E74" s="10">
        <f t="shared" si="5"/>
        <v>0.12616930597350251</v>
      </c>
      <c r="F74" s="80">
        <v>0.45898774459937997</v>
      </c>
      <c r="G74" s="83">
        <v>493175</v>
      </c>
      <c r="H74" s="17">
        <v>440880</v>
      </c>
      <c r="I74" s="10">
        <f t="shared" si="6"/>
        <v>0.11861504264198874</v>
      </c>
      <c r="J74" s="44">
        <v>0.46754164196834358</v>
      </c>
    </row>
    <row r="75" spans="1:10" x14ac:dyDescent="0.2">
      <c r="A75" s="110" t="str">
        <f>VLOOKUP("&lt;Zeilentitel_49&gt;",Uebersetzungen!$B$4:$E$78,Uebersetzungen!$B$2+1,FALSE)</f>
        <v>Graubünden</v>
      </c>
      <c r="B75" s="60"/>
      <c r="C75" s="61">
        <v>840340</v>
      </c>
      <c r="D75" s="62">
        <v>808284</v>
      </c>
      <c r="E75" s="63">
        <f t="shared" si="5"/>
        <v>3.9659327662059374E-2</v>
      </c>
      <c r="F75" s="85">
        <v>8.8790436410176365E-2</v>
      </c>
      <c r="G75" s="87">
        <v>1560707</v>
      </c>
      <c r="H75" s="62">
        <v>1505713</v>
      </c>
      <c r="I75" s="63">
        <f t="shared" si="6"/>
        <v>3.6523560598865856E-2</v>
      </c>
      <c r="J75" s="64">
        <v>0.13999069721509572</v>
      </c>
    </row>
    <row r="76" spans="1:10" x14ac:dyDescent="0.2">
      <c r="A76" s="24" t="str">
        <f>VLOOKUP("&lt;Zeilentitel_50&gt;",Uebersetzungen!$B$4:$E$78,Uebersetzungen!$B$2+1,FALSE)</f>
        <v>Jura &amp; Drei-Seen-Land</v>
      </c>
      <c r="B76" s="5"/>
      <c r="C76" s="13">
        <v>32413</v>
      </c>
      <c r="D76" s="17">
        <v>32478</v>
      </c>
      <c r="E76" s="10">
        <f t="shared" si="5"/>
        <v>-2.0013547632243833E-3</v>
      </c>
      <c r="F76" s="80">
        <v>0.1342020729377349</v>
      </c>
      <c r="G76" s="83">
        <v>60332</v>
      </c>
      <c r="H76" s="17">
        <v>62256</v>
      </c>
      <c r="I76" s="10">
        <f t="shared" si="6"/>
        <v>-3.0904651760472857E-2</v>
      </c>
      <c r="J76" s="44">
        <v>0.13341248609816958</v>
      </c>
    </row>
    <row r="77" spans="1:10" x14ac:dyDescent="0.2">
      <c r="A77" s="24" t="str">
        <f>VLOOKUP("&lt;Zeilentitel_51&gt;",Uebersetzungen!$B$4:$E$78,Uebersetzungen!$B$2+1,FALSE)</f>
        <v>Luzern / Vierwaldstättersee</v>
      </c>
      <c r="B77" s="5"/>
      <c r="C77" s="13">
        <v>261555</v>
      </c>
      <c r="D77" s="17">
        <v>258393</v>
      </c>
      <c r="E77" s="10">
        <f t="shared" si="5"/>
        <v>1.2237173607644092E-2</v>
      </c>
      <c r="F77" s="80">
        <v>0.16918663178767934</v>
      </c>
      <c r="G77" s="83">
        <v>487746</v>
      </c>
      <c r="H77" s="17">
        <v>483194</v>
      </c>
      <c r="I77" s="10">
        <f t="shared" si="6"/>
        <v>9.4206467795543425E-3</v>
      </c>
      <c r="J77" s="44">
        <v>0.18469547915040296</v>
      </c>
    </row>
    <row r="78" spans="1:10" x14ac:dyDescent="0.2">
      <c r="A78" s="24" t="str">
        <f>VLOOKUP("&lt;Zeilentitel_52&gt;",Uebersetzungen!$B$4:$E$78,Uebersetzungen!$B$2+1,FALSE)</f>
        <v>Ostschweiz</v>
      </c>
      <c r="B78" s="5"/>
      <c r="C78" s="13">
        <v>137487</v>
      </c>
      <c r="D78" s="17">
        <v>136425</v>
      </c>
      <c r="E78" s="10">
        <f t="shared" si="5"/>
        <v>7.7844969763607441E-3</v>
      </c>
      <c r="F78" s="80">
        <v>0.11840606778425666</v>
      </c>
      <c r="G78" s="83">
        <v>260900</v>
      </c>
      <c r="H78" s="17">
        <v>257214</v>
      </c>
      <c r="I78" s="10">
        <f t="shared" si="6"/>
        <v>1.4330479678400065E-2</v>
      </c>
      <c r="J78" s="44">
        <v>0.16011344121928861</v>
      </c>
    </row>
    <row r="79" spans="1:10" x14ac:dyDescent="0.2">
      <c r="A79" s="24" t="str">
        <f>VLOOKUP("&lt;Zeilentitel_53&gt;",Uebersetzungen!$B$4:$E$78,Uebersetzungen!$B$2+1,FALSE)</f>
        <v>Tessin</v>
      </c>
      <c r="B79" s="5"/>
      <c r="C79" s="13">
        <v>76553</v>
      </c>
      <c r="D79" s="17">
        <v>81603</v>
      </c>
      <c r="E79" s="10">
        <f t="shared" si="5"/>
        <v>-6.1884979718882849E-2</v>
      </c>
      <c r="F79" s="80">
        <v>4.1407061973195214E-2</v>
      </c>
      <c r="G79" s="83">
        <v>137316</v>
      </c>
      <c r="H79" s="17">
        <v>143209</v>
      </c>
      <c r="I79" s="10">
        <f t="shared" si="6"/>
        <v>-4.1149648415951479E-2</v>
      </c>
      <c r="J79" s="44">
        <v>6.6594999005766597E-2</v>
      </c>
    </row>
    <row r="80" spans="1:10" x14ac:dyDescent="0.2">
      <c r="A80" s="24" t="str">
        <f>VLOOKUP("&lt;Zeilentitel_54&gt;",Uebersetzungen!$B$4:$E$78,Uebersetzungen!$B$2+1,FALSE)</f>
        <v>Waadt</v>
      </c>
      <c r="B80" s="5"/>
      <c r="C80" s="13">
        <v>197038</v>
      </c>
      <c r="D80" s="17">
        <v>195888</v>
      </c>
      <c r="E80" s="10">
        <f t="shared" si="5"/>
        <v>5.870701625418695E-3</v>
      </c>
      <c r="F80" s="80">
        <v>0.15710312557256745</v>
      </c>
      <c r="G80" s="83">
        <v>366196</v>
      </c>
      <c r="H80" s="17">
        <v>368827</v>
      </c>
      <c r="I80" s="10">
        <f t="shared" si="6"/>
        <v>-7.1334256982270583E-3</v>
      </c>
      <c r="J80" s="44">
        <v>0.13003855504076145</v>
      </c>
    </row>
    <row r="81" spans="1:10" x14ac:dyDescent="0.2">
      <c r="A81" s="24" t="str">
        <f>VLOOKUP("&lt;Zeilentitel_55&gt;",Uebersetzungen!$B$4:$E$78,Uebersetzungen!$B$2+1,FALSE)</f>
        <v>Wallis</v>
      </c>
      <c r="B81" s="5"/>
      <c r="C81" s="13">
        <v>570741</v>
      </c>
      <c r="D81" s="17">
        <v>555728</v>
      </c>
      <c r="E81" s="33">
        <f t="shared" si="5"/>
        <v>2.7015014539486959E-2</v>
      </c>
      <c r="F81" s="80">
        <v>0.11292956931335207</v>
      </c>
      <c r="G81" s="83">
        <v>1041747</v>
      </c>
      <c r="H81" s="17">
        <v>1024184</v>
      </c>
      <c r="I81" s="33">
        <f t="shared" si="6"/>
        <v>1.7148285854885481E-2</v>
      </c>
      <c r="J81" s="44">
        <v>0.14742381546530181</v>
      </c>
    </row>
    <row r="82" spans="1:10" x14ac:dyDescent="0.2">
      <c r="A82" s="24" t="str">
        <f>VLOOKUP("&lt;Zeilentitel_56&gt;",Uebersetzungen!$B$4:$E$78,Uebersetzungen!$B$2+1,FALSE)</f>
        <v>Zürich Region</v>
      </c>
      <c r="B82" s="7"/>
      <c r="C82" s="14">
        <v>418400</v>
      </c>
      <c r="D82" s="18">
        <v>387111</v>
      </c>
      <c r="E82" s="43">
        <f t="shared" si="5"/>
        <v>8.0826946276391087E-2</v>
      </c>
      <c r="F82" s="11">
        <v>0.39174400425772538</v>
      </c>
      <c r="G82" s="84">
        <v>852587</v>
      </c>
      <c r="H82" s="18">
        <v>811433</v>
      </c>
      <c r="I82" s="43">
        <f t="shared" si="6"/>
        <v>5.0717680942234278E-2</v>
      </c>
      <c r="J82" s="48">
        <v>0.38714494340049943</v>
      </c>
    </row>
    <row r="83" spans="1:10" ht="13.5" thickBot="1" x14ac:dyDescent="0.25">
      <c r="A83" s="71" t="str">
        <f>VLOOKUP("&lt;Zeilentitel_57&gt;",Uebersetzungen!$B$4:$E$78,Uebersetzungen!$B$2+1,FALSE)</f>
        <v>Schweiz</v>
      </c>
      <c r="B83" s="39"/>
      <c r="C83" s="30">
        <v>3456920</v>
      </c>
      <c r="D83" s="40">
        <v>3322703</v>
      </c>
      <c r="E83" s="41">
        <f t="shared" si="5"/>
        <v>4.0393920251072801E-2</v>
      </c>
      <c r="F83" s="86">
        <v>0.17769181371121179</v>
      </c>
      <c r="G83" s="79">
        <v>6536890</v>
      </c>
      <c r="H83" s="40">
        <v>6325255</v>
      </c>
      <c r="I83" s="41">
        <f t="shared" si="6"/>
        <v>3.3458730122342795E-2</v>
      </c>
      <c r="J83" s="45">
        <v>0.20914730799177872</v>
      </c>
    </row>
    <row r="84" spans="1:10" x14ac:dyDescent="0.2">
      <c r="A84" s="34"/>
      <c r="B84" s="35"/>
      <c r="C84" s="29"/>
      <c r="D84" s="36"/>
      <c r="E84" s="37"/>
      <c r="F84" s="38"/>
    </row>
    <row r="85" spans="1:10" x14ac:dyDescent="0.2">
      <c r="A85" s="4" t="str">
        <f>VLOOKUP("&lt;Quelle_1&gt;",Uebersetzungen!$B$4:$E$86,Uebersetzungen!$B$2+1,FALSE)</f>
        <v>Quelle: BFS (HESTA)</v>
      </c>
    </row>
    <row r="86" spans="1:10" ht="12.75" customHeight="1" x14ac:dyDescent="0.2">
      <c r="A86" s="4" t="str">
        <f>VLOOKUP("&lt;T2Aktualisierung&gt;",Uebersetzungen!$B$4:$E$304,Uebersetzungen!$B$2+1,FALSE)</f>
        <v>Letztmals aktualisiert am: 08.04.2024</v>
      </c>
    </row>
    <row r="87" spans="1:10" x14ac:dyDescent="0.2">
      <c r="A87" s="4" t="str">
        <f>VLOOKUP("&lt;Legende_2&gt;",Uebersetzungen!$B$4:$E$86,Uebersetzungen!$B$2+1,FALSE)</f>
        <v>Kontakt: Luzius Stricker, 081 257 23 74, luzius.stricker@awt.gr.ch</v>
      </c>
    </row>
    <row r="88" spans="1:10" x14ac:dyDescent="0.2">
      <c r="A88" s="31" t="str">
        <f>VLOOKUP("&lt;T2Legende_3&gt;",Uebersetzungen!$B$4:$E$304,Uebersetzungen!$B$2+1,FALSE)</f>
        <v>Daten des März 2024 erscheinen am 6. Mai 2024.</v>
      </c>
    </row>
    <row r="90" spans="1:10" x14ac:dyDescent="0.2">
      <c r="A90" s="4" t="s">
        <v>55</v>
      </c>
    </row>
  </sheetData>
  <sheetProtection sheet="1" objects="1" scenarios="1"/>
  <mergeCells count="1">
    <mergeCell ref="A7:D7"/>
  </mergeCells>
  <hyperlinks>
    <hyperlink ref="E63" r:id="rId1"/>
  </hyperlinks>
  <pageMargins left="0.70866141732283472" right="0.70866141732283472" top="0.78740157480314965" bottom="0.78740157480314965" header="0.31496062992125984" footer="0.31496062992125984"/>
  <pageSetup paperSize="9" scale="90" fitToHeight="2" orientation="landscape" r:id="rId2"/>
  <rowBreaks count="2" manualBreakCount="2">
    <brk id="38" max="9" man="1"/>
    <brk id="65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/>
  <dimension ref="A1:K90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3" width="13.5703125" style="4" customWidth="1"/>
    <col min="4" max="4" width="13.28515625" style="4" customWidth="1"/>
    <col min="5" max="5" width="12.5703125" style="4" customWidth="1"/>
    <col min="6" max="6" width="15.5703125" style="4" bestFit="1" customWidth="1"/>
    <col min="7" max="7" width="11.28515625" style="4" bestFit="1" customWidth="1"/>
    <col min="8" max="8" width="10.7109375" style="4" bestFit="1" customWidth="1"/>
    <col min="9" max="9" width="12.5703125" style="4" customWidth="1"/>
    <col min="10" max="10" width="15.5703125" style="4" bestFit="1" customWidth="1"/>
    <col min="11" max="16384" width="11.42578125" style="4"/>
  </cols>
  <sheetData>
    <row r="1" spans="1:11" s="68" customFormat="1" x14ac:dyDescent="0.2"/>
    <row r="2" spans="1:11" s="68" customFormat="1" ht="15.75" x14ac:dyDescent="0.25">
      <c r="B2" s="69"/>
      <c r="C2" s="4"/>
      <c r="D2" s="4"/>
    </row>
    <row r="3" spans="1:11" s="68" customFormat="1" ht="15.75" x14ac:dyDescent="0.25">
      <c r="B3" s="69"/>
      <c r="C3" s="4"/>
      <c r="D3" s="4"/>
    </row>
    <row r="4" spans="1:11" s="68" customFormat="1" ht="15.75" x14ac:dyDescent="0.25">
      <c r="B4" s="69"/>
      <c r="C4" s="4"/>
      <c r="D4" s="4"/>
    </row>
    <row r="5" spans="1:11" s="68" customFormat="1" x14ac:dyDescent="0.2"/>
    <row r="6" spans="1:11" s="68" customFormat="1" x14ac:dyDescent="0.2"/>
    <row r="7" spans="1:11" ht="15.75" customHeight="1" x14ac:dyDescent="0.2">
      <c r="A7" s="124" t="str">
        <f>VLOOKUP("&lt;Fachbereich&gt;",Uebersetzungen!$B$4:$E$33,Uebersetzungen!$B$2+1,FALSE)</f>
        <v>Daten &amp; Statistik</v>
      </c>
      <c r="B7" s="124"/>
      <c r="C7" s="124"/>
      <c r="D7" s="124"/>
      <c r="E7" s="95"/>
      <c r="F7" s="1"/>
    </row>
    <row r="8" spans="1:11" ht="10.5" customHeight="1" x14ac:dyDescent="0.2"/>
    <row r="9" spans="1:11" ht="18" x14ac:dyDescent="0.25">
      <c r="A9" s="2" t="str">
        <f>VLOOKUP("&lt;Titel1&gt;",Uebersetzungen!$B$4:$E$31,Uebersetzungen!$B$2+1,FALSE)</f>
        <v>Hotel- und Kurbetriebe: Logiernächte im Januar 2024, nach Herkunft</v>
      </c>
      <c r="B9" s="3"/>
      <c r="C9" s="3"/>
      <c r="D9" s="3"/>
      <c r="E9" s="3"/>
      <c r="F9" s="3"/>
    </row>
    <row r="10" spans="1:11" s="123" customFormat="1" x14ac:dyDescent="0.2">
      <c r="A10" s="120" t="str">
        <f>VLOOKUP("&lt;Titelprov&gt;",Uebersetzungen!$B$4:$E$304,Uebersetzungen!$B$2+1,FALSE)</f>
        <v>definitive Ergebnisse</v>
      </c>
      <c r="B10" s="121"/>
      <c r="C10" s="122"/>
      <c r="D10" s="122"/>
      <c r="E10" s="122"/>
      <c r="F10" s="122"/>
      <c r="G10" s="122"/>
    </row>
    <row r="11" spans="1:11" ht="13.5" thickBot="1" x14ac:dyDescent="0.25"/>
    <row r="12" spans="1:11" ht="51" customHeight="1" x14ac:dyDescent="0.2">
      <c r="A12" s="8"/>
      <c r="B12" s="9"/>
      <c r="C12" s="20" t="str">
        <f>VLOOKUP("&lt;SpaltenTitel_1&gt;",Uebersetzungen!$B$4:$E$34,Uebersetzungen!$B$2+1,FALSE)</f>
        <v>Januar 2024</v>
      </c>
      <c r="D12" s="21" t="str">
        <f>VLOOKUP("&lt;SpaltenTitel_2&gt;",Uebersetzungen!$B$4:$E$34,Uebersetzungen!$B$2+1,FALSE)</f>
        <v>Januar 2023</v>
      </c>
      <c r="E12" s="22" t="str">
        <f>VLOOKUP("&lt;SpaltenTitel_3&gt;",Uebersetzungen!$B$4:$E$34,Uebersetzungen!$B$2+1,FALSE)</f>
        <v>Veränderung 24/23 in %</v>
      </c>
      <c r="F12" s="23" t="str">
        <f>VLOOKUP("&lt;SpaltenTitel_4&gt;",Uebersetzungen!$B$4:$E$34,Uebersetzungen!$B$2+1,FALSE)</f>
        <v>Veränderung zum
5-Jahresmittel 
in %</v>
      </c>
      <c r="G12" s="97"/>
      <c r="H12" s="97"/>
      <c r="I12" s="97"/>
      <c r="J12" s="97"/>
      <c r="K12" s="96"/>
    </row>
    <row r="13" spans="1:11" x14ac:dyDescent="0.2">
      <c r="A13" s="24" t="str">
        <f>VLOOKUP("&lt;Zeilentitel_1&gt;",Uebersetzungen!$B$4:$E$78,Uebersetzungen!$B$2+1,FALSE)</f>
        <v>Schweiz</v>
      </c>
      <c r="B13" s="5"/>
      <c r="C13" s="51">
        <v>449035</v>
      </c>
      <c r="D13" s="52">
        <v>441145</v>
      </c>
      <c r="E13" s="53">
        <f t="shared" ref="E13:E36" si="0">C13/D13-1</f>
        <v>1.7885275816341473E-2</v>
      </c>
      <c r="F13" s="54">
        <v>0.16503436194303234</v>
      </c>
      <c r="G13" s="101"/>
      <c r="H13" s="102"/>
      <c r="I13" s="103"/>
      <c r="J13" s="104"/>
      <c r="K13" s="96"/>
    </row>
    <row r="14" spans="1:11" x14ac:dyDescent="0.2">
      <c r="A14" s="24" t="str">
        <f>VLOOKUP("&lt;Zeilentitel_2&gt;",Uebersetzungen!$B$4:$E$78,Uebersetzungen!$B$2+1,FALSE)</f>
        <v>Deutschland</v>
      </c>
      <c r="B14" s="5"/>
      <c r="C14" s="51">
        <v>104659</v>
      </c>
      <c r="D14" s="52">
        <v>102207</v>
      </c>
      <c r="E14" s="53">
        <f t="shared" si="0"/>
        <v>2.3990529024430884E-2</v>
      </c>
      <c r="F14" s="54">
        <v>0.25480176676242228</v>
      </c>
      <c r="G14" s="101"/>
      <c r="H14" s="102"/>
      <c r="I14" s="103"/>
      <c r="J14" s="104"/>
      <c r="K14" s="96"/>
    </row>
    <row r="15" spans="1:11" x14ac:dyDescent="0.2">
      <c r="A15" s="24" t="str">
        <f>VLOOKUP("&lt;Zeilentitel_3&gt;",Uebersetzungen!$B$4:$E$78,Uebersetzungen!$B$2+1,FALSE)</f>
        <v>Italien</v>
      </c>
      <c r="B15" s="5"/>
      <c r="C15" s="51">
        <v>15090</v>
      </c>
      <c r="D15" s="52">
        <v>15471</v>
      </c>
      <c r="E15" s="53">
        <f t="shared" si="0"/>
        <v>-2.462672096179952E-2</v>
      </c>
      <c r="F15" s="54">
        <v>0.31135289210233585</v>
      </c>
      <c r="G15" s="101"/>
      <c r="H15" s="102"/>
      <c r="I15" s="103"/>
      <c r="J15" s="104"/>
      <c r="K15" s="96"/>
    </row>
    <row r="16" spans="1:11" x14ac:dyDescent="0.2">
      <c r="A16" s="24" t="str">
        <f>VLOOKUP("&lt;Zeilentitel_4&gt;",Uebersetzungen!$B$4:$E$78,Uebersetzungen!$B$2+1,FALSE)</f>
        <v>Frankreich</v>
      </c>
      <c r="B16" s="5"/>
      <c r="C16" s="51">
        <v>7529</v>
      </c>
      <c r="D16" s="52">
        <v>6791</v>
      </c>
      <c r="E16" s="53">
        <f t="shared" si="0"/>
        <v>0.10867324399941092</v>
      </c>
      <c r="F16" s="54">
        <v>0.4042973850113778</v>
      </c>
      <c r="G16" s="101"/>
      <c r="H16" s="102"/>
      <c r="I16" s="103"/>
      <c r="J16" s="104"/>
      <c r="K16" s="96"/>
    </row>
    <row r="17" spans="1:11" x14ac:dyDescent="0.2">
      <c r="A17" s="24" t="str">
        <f>VLOOKUP("&lt;Zeilentitel_5&gt;",Uebersetzungen!$B$4:$E$78,Uebersetzungen!$B$2+1,FALSE)</f>
        <v>Österreich</v>
      </c>
      <c r="B17" s="5"/>
      <c r="C17" s="51">
        <v>4065</v>
      </c>
      <c r="D17" s="52">
        <v>4436</v>
      </c>
      <c r="E17" s="53">
        <f t="shared" si="0"/>
        <v>-8.3633904418394911E-2</v>
      </c>
      <c r="F17" s="54">
        <v>0.17424461262926805</v>
      </c>
      <c r="G17" s="101"/>
      <c r="H17" s="102"/>
      <c r="I17" s="103"/>
      <c r="J17" s="104"/>
      <c r="K17" s="96"/>
    </row>
    <row r="18" spans="1:11" x14ac:dyDescent="0.2">
      <c r="A18" s="24" t="str">
        <f>VLOOKUP("&lt;Zeilentitel_6&gt;",Uebersetzungen!$B$4:$E$78,Uebersetzungen!$B$2+1,FALSE)</f>
        <v>Niederlande</v>
      </c>
      <c r="B18" s="5"/>
      <c r="C18" s="51">
        <v>10847</v>
      </c>
      <c r="D18" s="52">
        <v>10781</v>
      </c>
      <c r="E18" s="53">
        <f t="shared" si="0"/>
        <v>6.1218810870977691E-3</v>
      </c>
      <c r="F18" s="54">
        <v>0.28720273413395359</v>
      </c>
      <c r="G18" s="101"/>
      <c r="H18" s="102"/>
      <c r="I18" s="103"/>
      <c r="J18" s="104"/>
      <c r="K18" s="96"/>
    </row>
    <row r="19" spans="1:11" x14ac:dyDescent="0.2">
      <c r="A19" s="24" t="str">
        <f>VLOOKUP("&lt;Zeilentitel_7&gt;",Uebersetzungen!$B$4:$E$78,Uebersetzungen!$B$2+1,FALSE)</f>
        <v>Belgien</v>
      </c>
      <c r="B19" s="5"/>
      <c r="C19" s="51">
        <v>6135</v>
      </c>
      <c r="D19" s="52">
        <v>6235</v>
      </c>
      <c r="E19" s="53">
        <f t="shared" si="0"/>
        <v>-1.6038492381716174E-2</v>
      </c>
      <c r="F19" s="54">
        <v>0.25686306645906742</v>
      </c>
      <c r="G19" s="101"/>
      <c r="H19" s="102"/>
      <c r="I19" s="103"/>
      <c r="J19" s="104"/>
      <c r="K19" s="96"/>
    </row>
    <row r="20" spans="1:11" x14ac:dyDescent="0.2">
      <c r="A20" s="24" t="str">
        <f>VLOOKUP("&lt;Zeilentitel_8&gt;",Uebersetzungen!$B$4:$E$78,Uebersetzungen!$B$2+1,FALSE)</f>
        <v>Luxemburg</v>
      </c>
      <c r="B20" s="5"/>
      <c r="C20" s="51">
        <v>3001</v>
      </c>
      <c r="D20" s="52">
        <v>2961</v>
      </c>
      <c r="E20" s="53">
        <f t="shared" si="0"/>
        <v>1.3508949679162496E-2</v>
      </c>
      <c r="F20" s="54">
        <v>0.47803388494877841</v>
      </c>
      <c r="G20" s="101"/>
      <c r="H20" s="102"/>
      <c r="I20" s="103"/>
      <c r="J20" s="104"/>
      <c r="K20" s="96"/>
    </row>
    <row r="21" spans="1:11" x14ac:dyDescent="0.2">
      <c r="A21" s="24" t="str">
        <f>VLOOKUP("&lt;Zeilentitel_9&gt;",Uebersetzungen!$B$4:$E$78,Uebersetzungen!$B$2+1,FALSE)</f>
        <v>Vereinigtes Königreich</v>
      </c>
      <c r="B21" s="5"/>
      <c r="C21" s="51">
        <v>20428</v>
      </c>
      <c r="D21" s="52">
        <v>22160</v>
      </c>
      <c r="E21" s="53">
        <f t="shared" si="0"/>
        <v>-7.8158844765342961E-2</v>
      </c>
      <c r="F21" s="54">
        <v>0.26321777953671299</v>
      </c>
      <c r="G21" s="101"/>
      <c r="H21" s="102"/>
      <c r="I21" s="103"/>
      <c r="J21" s="104"/>
      <c r="K21" s="96"/>
    </row>
    <row r="22" spans="1:11" x14ac:dyDescent="0.2">
      <c r="A22" s="24" t="str">
        <f>VLOOKUP("&lt;Zeilentitel_10&gt;",Uebersetzungen!$B$4:$E$78,Uebersetzungen!$B$2+1,FALSE)</f>
        <v>Vereinigte Staaten</v>
      </c>
      <c r="B22" s="5"/>
      <c r="C22" s="51">
        <v>20714</v>
      </c>
      <c r="D22" s="52">
        <v>18208</v>
      </c>
      <c r="E22" s="53">
        <f t="shared" si="0"/>
        <v>0.1376318101933216</v>
      </c>
      <c r="F22" s="54">
        <v>0.67885104796485707</v>
      </c>
      <c r="G22" s="101"/>
      <c r="H22" s="102"/>
      <c r="I22" s="103"/>
      <c r="J22" s="104"/>
      <c r="K22" s="96"/>
    </row>
    <row r="23" spans="1:11" x14ac:dyDescent="0.2">
      <c r="A23" s="24" t="str">
        <f>VLOOKUP("&lt;Zeilentitel_11&gt;",Uebersetzungen!$B$4:$E$78,Uebersetzungen!$B$2+1,FALSE)</f>
        <v>Polen</v>
      </c>
      <c r="B23" s="5"/>
      <c r="C23" s="51">
        <v>6517</v>
      </c>
      <c r="D23" s="52">
        <v>4768</v>
      </c>
      <c r="E23" s="53">
        <f t="shared" si="0"/>
        <v>0.36682046979865768</v>
      </c>
      <c r="F23" s="54">
        <v>-0.34830000000000005</v>
      </c>
      <c r="G23" s="101"/>
      <c r="H23" s="102"/>
      <c r="I23" s="103"/>
      <c r="J23" s="104"/>
      <c r="K23" s="96"/>
    </row>
    <row r="24" spans="1:11" x14ac:dyDescent="0.2">
      <c r="A24" s="24" t="str">
        <f>VLOOKUP("&lt;Zeilentitel_12&gt;",Uebersetzungen!$B$4:$E$78,Uebersetzungen!$B$2+1,FALSE)</f>
        <v>Tschechien</v>
      </c>
      <c r="B24" s="5"/>
      <c r="C24" s="51">
        <v>2341</v>
      </c>
      <c r="D24" s="52">
        <v>2094</v>
      </c>
      <c r="E24" s="53">
        <f t="shared" si="0"/>
        <v>0.11795606494746891</v>
      </c>
      <c r="F24" s="54">
        <v>-1.708379601947918E-4</v>
      </c>
      <c r="G24" s="101"/>
      <c r="H24" s="102"/>
      <c r="I24" s="103"/>
      <c r="J24" s="104"/>
      <c r="K24" s="96"/>
    </row>
    <row r="25" spans="1:11" x14ac:dyDescent="0.2">
      <c r="A25" s="24" t="str">
        <f>VLOOKUP("&lt;Zeilentitel_13&gt;",Uebersetzungen!$B$4:$E$78,Uebersetzungen!$B$2+1,FALSE)</f>
        <v>Russland</v>
      </c>
      <c r="B25" s="5"/>
      <c r="C25" s="51">
        <v>2983</v>
      </c>
      <c r="D25" s="52">
        <v>2410</v>
      </c>
      <c r="E25" s="53">
        <f t="shared" si="0"/>
        <v>0.23775933609958511</v>
      </c>
      <c r="F25" s="54">
        <v>-0.63927249860933077</v>
      </c>
      <c r="G25" s="101"/>
      <c r="H25" s="102"/>
      <c r="I25" s="103"/>
      <c r="J25" s="104"/>
      <c r="K25" s="96"/>
    </row>
    <row r="26" spans="1:11" x14ac:dyDescent="0.2">
      <c r="A26" s="24" t="str">
        <f>VLOOKUP("&lt;Zeilentitel_14&gt;",Uebersetzungen!$B$4:$E$78,Uebersetzungen!$B$2+1,FALSE)</f>
        <v>Schweden</v>
      </c>
      <c r="B26" s="5"/>
      <c r="C26" s="51">
        <v>2110</v>
      </c>
      <c r="D26" s="52">
        <v>1848</v>
      </c>
      <c r="E26" s="53">
        <f t="shared" si="0"/>
        <v>0.14177489177489178</v>
      </c>
      <c r="F26" s="54">
        <v>0.26423007789095276</v>
      </c>
      <c r="G26" s="101"/>
      <c r="H26" s="102"/>
      <c r="I26" s="103"/>
      <c r="J26" s="104"/>
      <c r="K26" s="96"/>
    </row>
    <row r="27" spans="1:11" x14ac:dyDescent="0.2">
      <c r="A27" s="24" t="str">
        <f>VLOOKUP("&lt;Zeilentitel_15&gt;",Uebersetzungen!$B$4:$E$78,Uebersetzungen!$B$2+1,FALSE)</f>
        <v>Norwegen</v>
      </c>
      <c r="B27" s="5"/>
      <c r="C27" s="51">
        <v>778</v>
      </c>
      <c r="D27" s="52">
        <v>807</v>
      </c>
      <c r="E27" s="53">
        <f t="shared" si="0"/>
        <v>-3.5935563816604676E-2</v>
      </c>
      <c r="F27" s="54">
        <v>6.0523446019629112E-2</v>
      </c>
      <c r="G27" s="101"/>
      <c r="H27" s="102"/>
      <c r="I27" s="103"/>
      <c r="J27" s="104"/>
      <c r="K27" s="96"/>
    </row>
    <row r="28" spans="1:11" x14ac:dyDescent="0.2">
      <c r="A28" s="24" t="str">
        <f>VLOOKUP("&lt;Zeilentitel_16&gt;",Uebersetzungen!$B$4:$E$78,Uebersetzungen!$B$2+1,FALSE)</f>
        <v>Dänemark</v>
      </c>
      <c r="B28" s="5"/>
      <c r="C28" s="51">
        <v>1085</v>
      </c>
      <c r="D28" s="52">
        <v>1195</v>
      </c>
      <c r="E28" s="53">
        <f t="shared" si="0"/>
        <v>-9.2050209205020939E-2</v>
      </c>
      <c r="F28" s="54">
        <v>0.16691761669176164</v>
      </c>
      <c r="G28" s="101"/>
      <c r="H28" s="102"/>
      <c r="I28" s="103"/>
      <c r="J28" s="104"/>
      <c r="K28" s="96"/>
    </row>
    <row r="29" spans="1:11" x14ac:dyDescent="0.2">
      <c r="A29" s="24" t="str">
        <f>VLOOKUP("&lt;Zeilentitel_17&gt;",Uebersetzungen!$B$4:$E$78,Uebersetzungen!$B$2+1,FALSE)</f>
        <v>Finnland</v>
      </c>
      <c r="B29" s="5"/>
      <c r="C29" s="51">
        <v>792</v>
      </c>
      <c r="D29" s="52">
        <v>723</v>
      </c>
      <c r="E29" s="53">
        <f t="shared" si="0"/>
        <v>9.543568464730301E-2</v>
      </c>
      <c r="F29" s="54">
        <v>0.5022761760242791</v>
      </c>
      <c r="G29" s="101"/>
      <c r="H29" s="102"/>
      <c r="I29" s="103"/>
      <c r="J29" s="104"/>
      <c r="K29" s="96"/>
    </row>
    <row r="30" spans="1:11" x14ac:dyDescent="0.2">
      <c r="A30" s="24" t="str">
        <f>VLOOKUP("&lt;Zeilentitel_18&gt;",Uebersetzungen!$B$4:$E$78,Uebersetzungen!$B$2+1,FALSE)</f>
        <v>Japan</v>
      </c>
      <c r="B30" s="5"/>
      <c r="C30" s="51">
        <v>963</v>
      </c>
      <c r="D30" s="52">
        <v>996</v>
      </c>
      <c r="E30" s="53">
        <f t="shared" si="0"/>
        <v>-3.3132530120481896E-2</v>
      </c>
      <c r="F30" s="54">
        <v>0.18918251420103727</v>
      </c>
      <c r="G30" s="101"/>
      <c r="H30" s="102"/>
      <c r="I30" s="103"/>
      <c r="J30" s="104"/>
      <c r="K30" s="96"/>
    </row>
    <row r="31" spans="1:11" x14ac:dyDescent="0.2">
      <c r="A31" s="24" t="str">
        <f>VLOOKUP("&lt;Zeilentitel_19&gt;",Uebersetzungen!$B$4:$E$78,Uebersetzungen!$B$2+1,FALSE)</f>
        <v>China / Hongkong / Taiwan (Chin. Taipei)</v>
      </c>
      <c r="B31" s="5"/>
      <c r="C31" s="51">
        <v>2256</v>
      </c>
      <c r="D31" s="52">
        <v>2054</v>
      </c>
      <c r="E31" s="53">
        <f t="shared" si="0"/>
        <v>9.8344693281402051E-2</v>
      </c>
      <c r="F31" s="54">
        <v>-1.5620909328911803E-2</v>
      </c>
      <c r="G31" s="101"/>
      <c r="H31" s="102"/>
      <c r="I31" s="103"/>
      <c r="J31" s="104"/>
      <c r="K31" s="96"/>
    </row>
    <row r="32" spans="1:11" x14ac:dyDescent="0.2">
      <c r="A32" s="24" t="str">
        <f>VLOOKUP("&lt;Zeilentitel_20&gt;",Uebersetzungen!$B$4:$E$78,Uebersetzungen!$B$2+1,FALSE)</f>
        <v xml:space="preserve">Indien </v>
      </c>
      <c r="B32" s="5"/>
      <c r="C32" s="59">
        <v>1265</v>
      </c>
      <c r="D32" s="52">
        <v>988</v>
      </c>
      <c r="E32" s="53">
        <f t="shared" si="0"/>
        <v>0.28036437246963564</v>
      </c>
      <c r="F32" s="54">
        <v>0.79943100995732586</v>
      </c>
      <c r="G32" s="105"/>
      <c r="H32" s="102"/>
      <c r="I32" s="103"/>
      <c r="J32" s="104"/>
      <c r="K32" s="96"/>
    </row>
    <row r="33" spans="1:11" x14ac:dyDescent="0.2">
      <c r="A33" s="24" t="str">
        <f>VLOOKUP("&lt;Zeilentitel_21&gt;",Uebersetzungen!$B$4:$E$78,Uebersetzungen!$B$2+1,FALSE)</f>
        <v>Brasilien</v>
      </c>
      <c r="B33" s="5"/>
      <c r="C33" s="51">
        <v>10897</v>
      </c>
      <c r="D33" s="52">
        <v>7898</v>
      </c>
      <c r="E33" s="53">
        <f t="shared" si="0"/>
        <v>0.37971638389465689</v>
      </c>
      <c r="F33" s="54">
        <v>0.97416573064241452</v>
      </c>
      <c r="G33" s="101"/>
      <c r="H33" s="102"/>
      <c r="I33" s="103"/>
      <c r="J33" s="104"/>
      <c r="K33" s="96"/>
    </row>
    <row r="34" spans="1:11" x14ac:dyDescent="0.2">
      <c r="A34" s="24" t="str">
        <f>VLOOKUP("&lt;Zeilentitel_22&gt;",Uebersetzungen!$B$4:$E$78,Uebersetzungen!$B$2+1,FALSE)</f>
        <v>Golfstaaten</v>
      </c>
      <c r="B34" s="5"/>
      <c r="C34" s="59">
        <v>4666</v>
      </c>
      <c r="D34" s="55">
        <v>2825</v>
      </c>
      <c r="E34" s="53">
        <f t="shared" si="0"/>
        <v>0.65168141592920348</v>
      </c>
      <c r="F34" s="54">
        <v>1.5024133862490614</v>
      </c>
      <c r="G34" s="105"/>
      <c r="H34" s="102"/>
      <c r="I34" s="103"/>
      <c r="J34" s="104"/>
      <c r="K34" s="96"/>
    </row>
    <row r="35" spans="1:11" x14ac:dyDescent="0.2">
      <c r="A35" s="24" t="str">
        <f>VLOOKUP("&lt;Zeilentitel_23&gt;",Uebersetzungen!$B$4:$E$78,Uebersetzungen!$B$2+1,FALSE)</f>
        <v>Übrige Herkunftsländer</v>
      </c>
      <c r="B35" s="5"/>
      <c r="C35" s="56">
        <f>C36-SUM(C13:C34)</f>
        <v>42211</v>
      </c>
      <c r="D35" s="57">
        <f>D36-SUM(D13:D34)</f>
        <v>38428</v>
      </c>
      <c r="E35" s="53">
        <f t="shared" si="0"/>
        <v>9.844384303112319E-2</v>
      </c>
      <c r="F35" s="58" t="s">
        <v>50</v>
      </c>
      <c r="G35" s="101"/>
      <c r="H35" s="106"/>
      <c r="I35" s="103"/>
      <c r="J35" s="107"/>
      <c r="K35" s="96"/>
    </row>
    <row r="36" spans="1:11" ht="13.5" thickBot="1" x14ac:dyDescent="0.25">
      <c r="A36" s="26" t="str">
        <f>VLOOKUP("&lt;Zeilentitel_24&gt;",Uebersetzungen!$B$4:$E$78,Uebersetzungen!$B$2+1,FALSE)</f>
        <v>Graubünden</v>
      </c>
      <c r="B36" s="25"/>
      <c r="C36" s="30">
        <f>C61</f>
        <v>720367</v>
      </c>
      <c r="D36" s="19">
        <f>D61</f>
        <v>697429</v>
      </c>
      <c r="E36" s="12">
        <f t="shared" si="0"/>
        <v>3.2889369383837019E-2</v>
      </c>
      <c r="F36" s="47">
        <f>F61</f>
        <v>0.20615636748800892</v>
      </c>
      <c r="G36" s="29"/>
      <c r="H36" s="98"/>
      <c r="I36" s="99"/>
      <c r="J36" s="99"/>
      <c r="K36" s="96"/>
    </row>
    <row r="37" spans="1:11" x14ac:dyDescent="0.2">
      <c r="C37" s="15"/>
      <c r="D37" s="16"/>
      <c r="E37" s="28"/>
      <c r="F37" s="27"/>
      <c r="I37" s="15"/>
      <c r="J37" s="15"/>
    </row>
    <row r="38" spans="1:11" x14ac:dyDescent="0.2">
      <c r="C38" s="15"/>
    </row>
    <row r="39" spans="1:11" ht="18" x14ac:dyDescent="0.25">
      <c r="A39" s="2" t="str">
        <f>VLOOKUP("&lt;Titel2&gt;",Uebersetzungen!$B$4:$E$31,Uebersetzungen!$B$2+1,FALSE)</f>
        <v>Hotel- und Kurbetriebe: Logiernächte im Januar 2024, nach Destinationen</v>
      </c>
      <c r="B39" s="3"/>
      <c r="C39" s="3"/>
      <c r="D39" s="3"/>
      <c r="E39" s="3"/>
      <c r="F39" s="3"/>
    </row>
    <row r="40" spans="1:11" s="123" customFormat="1" x14ac:dyDescent="0.2">
      <c r="A40" s="120" t="str">
        <f>VLOOKUP("&lt;Titelprov&gt;",Uebersetzungen!$B$4:$E$304,Uebersetzungen!$B$2+1,FALSE)</f>
        <v>definitive Ergebnisse</v>
      </c>
      <c r="B40" s="121"/>
      <c r="C40" s="122"/>
      <c r="D40" s="122"/>
      <c r="E40" s="122"/>
      <c r="F40" s="122"/>
      <c r="G40" s="122"/>
    </row>
    <row r="41" spans="1:11" ht="13.5" thickBot="1" x14ac:dyDescent="0.25">
      <c r="G41" s="96"/>
      <c r="H41" s="96"/>
      <c r="I41" s="96"/>
      <c r="J41" s="96"/>
      <c r="K41" s="96"/>
    </row>
    <row r="42" spans="1:11" ht="51" customHeight="1" x14ac:dyDescent="0.2">
      <c r="A42" s="8"/>
      <c r="B42" s="9"/>
      <c r="C42" s="20" t="str">
        <f>VLOOKUP("&lt;SpaltenTitel_1&gt;",Uebersetzungen!$B$4:$E$34,Uebersetzungen!$B$2+1,FALSE)</f>
        <v>Januar 2024</v>
      </c>
      <c r="D42" s="21" t="str">
        <f>VLOOKUP("&lt;SpaltenTitel_2&gt;",Uebersetzungen!$B$4:$E$34,Uebersetzungen!$B$2+1,FALSE)</f>
        <v>Januar 2023</v>
      </c>
      <c r="E42" s="22" t="str">
        <f>VLOOKUP("&lt;SpaltenTitel_3&gt;",Uebersetzungen!$B$4:$E$34,Uebersetzungen!$B$2+1,FALSE)</f>
        <v>Veränderung 24/23 in %</v>
      </c>
      <c r="F42" s="23" t="str">
        <f>VLOOKUP("&lt;SpaltenTitel_4&gt;",Uebersetzungen!$B$4:$E$34,Uebersetzungen!$B$2+1,FALSE)</f>
        <v>Veränderung zum
5-Jahresmittel 
in %</v>
      </c>
      <c r="G42" s="97"/>
      <c r="H42" s="97"/>
      <c r="I42" s="97"/>
      <c r="J42" s="97"/>
      <c r="K42" s="96"/>
    </row>
    <row r="43" spans="1:11" x14ac:dyDescent="0.2">
      <c r="A43" s="24" t="str">
        <f>VLOOKUP("&lt;Zeilentitel_25&gt;",Uebersetzungen!$B$4:$E$78,Uebersetzungen!$B$2+1,FALSE)</f>
        <v>Arosa</v>
      </c>
      <c r="B43" s="5"/>
      <c r="C43" s="13">
        <v>73012</v>
      </c>
      <c r="D43" s="17">
        <v>69320</v>
      </c>
      <c r="E43" s="10">
        <f>C43/D43-1</f>
        <v>5.3260242354298937E-2</v>
      </c>
      <c r="F43" s="44">
        <v>0.23592880865888222</v>
      </c>
      <c r="G43" s="29"/>
      <c r="H43" s="98"/>
      <c r="I43" s="99"/>
      <c r="J43" s="100"/>
      <c r="K43" s="96"/>
    </row>
    <row r="44" spans="1:11" x14ac:dyDescent="0.2">
      <c r="A44" s="24" t="str">
        <f>VLOOKUP("&lt;Zeilentitel_26&gt;",Uebersetzungen!$B$4:$E$78,Uebersetzungen!$B$2+1,FALSE)</f>
        <v>Bergün Filisur</v>
      </c>
      <c r="B44" s="5"/>
      <c r="C44" s="13">
        <v>7228</v>
      </c>
      <c r="D44" s="17">
        <v>8780</v>
      </c>
      <c r="E44" s="10">
        <f t="shared" ref="E44:E61" si="1">C44/D44-1</f>
        <v>-0.17676537585421415</v>
      </c>
      <c r="F44" s="44">
        <v>3.3215234720995745E-4</v>
      </c>
      <c r="G44" s="29"/>
      <c r="H44" s="98"/>
      <c r="I44" s="99"/>
      <c r="J44" s="100"/>
      <c r="K44" s="96"/>
    </row>
    <row r="45" spans="1:11" x14ac:dyDescent="0.2">
      <c r="A45" s="24" t="str">
        <f>VLOOKUP("&lt;Zeilentitel_27&gt;",Uebersetzungen!$B$4:$E$78,Uebersetzungen!$B$2+1,FALSE)</f>
        <v>Bregaglia Engadin</v>
      </c>
      <c r="B45" s="5"/>
      <c r="C45" s="13">
        <v>5121</v>
      </c>
      <c r="D45" s="17">
        <v>4609</v>
      </c>
      <c r="E45" s="10">
        <f t="shared" si="1"/>
        <v>0.11108700368843571</v>
      </c>
      <c r="F45" s="44">
        <v>0.31902946630949924</v>
      </c>
      <c r="G45" s="29"/>
      <c r="H45" s="98"/>
      <c r="I45" s="99"/>
      <c r="J45" s="100"/>
      <c r="K45" s="96"/>
    </row>
    <row r="46" spans="1:11" x14ac:dyDescent="0.2">
      <c r="A46" s="24" t="str">
        <f>VLOOKUP("&lt;Zeilentitel_28&gt;",Uebersetzungen!$B$4:$E$78,Uebersetzungen!$B$2+1,FALSE)</f>
        <v>Bündner Herrschaft</v>
      </c>
      <c r="B46" s="5"/>
      <c r="C46" s="13">
        <v>4116</v>
      </c>
      <c r="D46" s="17">
        <v>2835</v>
      </c>
      <c r="E46" s="10">
        <f t="shared" si="1"/>
        <v>0.45185185185185195</v>
      </c>
      <c r="F46" s="44">
        <v>0.56418636467279759</v>
      </c>
      <c r="G46" s="29"/>
      <c r="H46" s="98"/>
      <c r="I46" s="99"/>
      <c r="J46" s="100"/>
      <c r="K46" s="96"/>
    </row>
    <row r="47" spans="1:11" x14ac:dyDescent="0.2">
      <c r="A47" s="24" t="str">
        <f>VLOOKUP("&lt;Zeilentitel_29&gt;",Uebersetzungen!$B$4:$E$78,Uebersetzungen!$B$2+1,FALSE)</f>
        <v>Chur</v>
      </c>
      <c r="B47" s="5"/>
      <c r="C47" s="13">
        <v>17687</v>
      </c>
      <c r="D47" s="17">
        <v>15062</v>
      </c>
      <c r="E47" s="10">
        <f t="shared" si="1"/>
        <v>0.17427964413756469</v>
      </c>
      <c r="F47" s="44">
        <v>0.43179794381931513</v>
      </c>
      <c r="G47" s="29"/>
      <c r="H47" s="98"/>
      <c r="I47" s="99"/>
      <c r="J47" s="100"/>
      <c r="K47" s="96"/>
    </row>
    <row r="48" spans="1:11" x14ac:dyDescent="0.2">
      <c r="A48" s="24" t="str">
        <f>VLOOKUP("&lt;Zeilentitel_30&gt;",Uebersetzungen!$B$4:$E$78,Uebersetzungen!$B$2+1,FALSE)</f>
        <v>Davos Klosters</v>
      </c>
      <c r="B48" s="5"/>
      <c r="C48" s="13">
        <v>133871</v>
      </c>
      <c r="D48" s="17">
        <v>132405</v>
      </c>
      <c r="E48" s="10">
        <f t="shared" si="1"/>
        <v>1.1072089422604847E-2</v>
      </c>
      <c r="F48" s="44">
        <v>0.19369301088020707</v>
      </c>
      <c r="G48" s="29"/>
      <c r="H48" s="98"/>
      <c r="I48" s="99"/>
      <c r="J48" s="100"/>
      <c r="K48" s="96"/>
    </row>
    <row r="49" spans="1:11" x14ac:dyDescent="0.2">
      <c r="A49" s="24" t="str">
        <f>VLOOKUP("&lt;Zeilentitel_31&gt;",Uebersetzungen!$B$4:$E$78,Uebersetzungen!$B$2+1,FALSE)</f>
        <v>Disentis Sedrun</v>
      </c>
      <c r="B49" s="5"/>
      <c r="C49" s="13">
        <v>19008</v>
      </c>
      <c r="D49" s="17">
        <v>18113</v>
      </c>
      <c r="E49" s="10">
        <f t="shared" si="1"/>
        <v>4.9412024512780928E-2</v>
      </c>
      <c r="F49" s="44">
        <v>0.43853966428020041</v>
      </c>
      <c r="G49" s="29"/>
      <c r="H49" s="98"/>
      <c r="I49" s="99"/>
      <c r="J49" s="100"/>
      <c r="K49" s="96"/>
    </row>
    <row r="50" spans="1:11" x14ac:dyDescent="0.2">
      <c r="A50" s="24" t="str">
        <f>VLOOKUP("&lt;Zeilentitel_32&gt;",Uebersetzungen!$B$4:$E$78,Uebersetzungen!$B$2+1,FALSE)</f>
        <v>Scuol Samnaun Val Müstair</v>
      </c>
      <c r="B50" s="5"/>
      <c r="C50" s="13">
        <v>64327</v>
      </c>
      <c r="D50" s="17">
        <v>63234</v>
      </c>
      <c r="E50" s="10">
        <f t="shared" si="1"/>
        <v>1.7285004902426016E-2</v>
      </c>
      <c r="F50" s="44">
        <v>0.1994905703300105</v>
      </c>
      <c r="G50" s="29"/>
      <c r="H50" s="98"/>
      <c r="I50" s="99"/>
      <c r="J50" s="100"/>
      <c r="K50" s="96"/>
    </row>
    <row r="51" spans="1:11" x14ac:dyDescent="0.2">
      <c r="A51" s="24" t="str">
        <f>VLOOKUP("&lt;Zeilentitel_33&gt;",Uebersetzungen!$B$4:$E$78,Uebersetzungen!$B$2+1,FALSE)</f>
        <v>Engadin St. Moritz</v>
      </c>
      <c r="B51" s="5"/>
      <c r="C51" s="13">
        <v>222008</v>
      </c>
      <c r="D51" s="17">
        <v>214189</v>
      </c>
      <c r="E51" s="10">
        <f t="shared" si="1"/>
        <v>3.6505142654384759E-2</v>
      </c>
      <c r="F51" s="44">
        <v>0.22442721483731698</v>
      </c>
      <c r="G51" s="29"/>
      <c r="H51" s="98"/>
      <c r="I51" s="99"/>
      <c r="J51" s="100"/>
      <c r="K51" s="96"/>
    </row>
    <row r="52" spans="1:11" x14ac:dyDescent="0.2">
      <c r="A52" s="24" t="str">
        <f>VLOOKUP("&lt;Zeilentitel_34&gt;",Uebersetzungen!$B$4:$E$78,Uebersetzungen!$B$2+1,FALSE)</f>
        <v>Flims Laax</v>
      </c>
      <c r="B52" s="5"/>
      <c r="C52" s="13">
        <v>67586</v>
      </c>
      <c r="D52" s="17">
        <v>68682</v>
      </c>
      <c r="E52" s="10">
        <f t="shared" si="1"/>
        <v>-1.5957601700591129E-2</v>
      </c>
      <c r="F52" s="44">
        <v>6.5968071112905591E-2</v>
      </c>
      <c r="G52" s="29"/>
      <c r="H52" s="98"/>
      <c r="I52" s="99"/>
      <c r="J52" s="100"/>
      <c r="K52" s="96"/>
    </row>
    <row r="53" spans="1:11" x14ac:dyDescent="0.2">
      <c r="A53" s="24" t="str">
        <f>VLOOKUP("&lt;Zeilentitel_35&gt;",Uebersetzungen!$B$4:$E$78,Uebersetzungen!$B$2+1,FALSE)</f>
        <v>Lenzerheide</v>
      </c>
      <c r="B53" s="5"/>
      <c r="C53" s="13">
        <v>49144</v>
      </c>
      <c r="D53" s="17">
        <v>47559</v>
      </c>
      <c r="E53" s="10">
        <f t="shared" si="1"/>
        <v>3.3327025379003006E-2</v>
      </c>
      <c r="F53" s="44">
        <v>0.14864833279575174</v>
      </c>
      <c r="G53" s="29"/>
      <c r="H53" s="98"/>
      <c r="I53" s="99"/>
      <c r="J53" s="100"/>
      <c r="K53" s="96"/>
    </row>
    <row r="54" spans="1:11" x14ac:dyDescent="0.2">
      <c r="A54" s="24" t="str">
        <f>VLOOKUP("&lt;Zeilentitel_36&gt;",Uebersetzungen!$B$4:$E$78,Uebersetzungen!$B$2+1,FALSE)</f>
        <v>Prättigau</v>
      </c>
      <c r="B54" s="5"/>
      <c r="C54" s="13">
        <v>10155</v>
      </c>
      <c r="D54" s="17">
        <v>10066</v>
      </c>
      <c r="E54" s="10">
        <f t="shared" si="1"/>
        <v>8.8416451420623154E-3</v>
      </c>
      <c r="F54" s="44">
        <v>0.28599650482486116</v>
      </c>
      <c r="G54" s="29"/>
      <c r="H54" s="98"/>
      <c r="I54" s="99"/>
      <c r="J54" s="100"/>
      <c r="K54" s="96"/>
    </row>
    <row r="55" spans="1:11" x14ac:dyDescent="0.2">
      <c r="A55" s="24" t="str">
        <f>VLOOKUP("&lt;Zeilentitel_37&gt;",Uebersetzungen!$B$4:$E$78,Uebersetzungen!$B$2+1,FALSE)</f>
        <v>San Bernardino, Mesolcina/Calanca</v>
      </c>
      <c r="B55" s="5"/>
      <c r="C55" s="13">
        <v>2089</v>
      </c>
      <c r="D55" s="17">
        <v>2195</v>
      </c>
      <c r="E55" s="10">
        <f t="shared" si="1"/>
        <v>-4.8291571753986351E-2</v>
      </c>
      <c r="F55" s="44">
        <v>6.1807461624479032E-2</v>
      </c>
      <c r="G55" s="29"/>
      <c r="H55" s="98"/>
      <c r="I55" s="99"/>
      <c r="J55" s="100"/>
      <c r="K55" s="96"/>
    </row>
    <row r="56" spans="1:11" x14ac:dyDescent="0.2">
      <c r="A56" s="24" t="str">
        <f>VLOOKUP("&lt;Zeilentitel_38&gt;",Uebersetzungen!$B$4:$E$78,Uebersetzungen!$B$2+1,FALSE)</f>
        <v>Val Surses</v>
      </c>
      <c r="B56" s="5"/>
      <c r="C56" s="13">
        <v>13104</v>
      </c>
      <c r="D56" s="17">
        <v>11386</v>
      </c>
      <c r="E56" s="10">
        <f t="shared" si="1"/>
        <v>0.15088705427718252</v>
      </c>
      <c r="F56" s="44">
        <v>0.50981657295603267</v>
      </c>
      <c r="G56" s="29"/>
      <c r="H56" s="98"/>
      <c r="I56" s="99"/>
      <c r="J56" s="100"/>
      <c r="K56" s="96"/>
    </row>
    <row r="57" spans="1:11" x14ac:dyDescent="0.2">
      <c r="A57" s="24" t="str">
        <f>VLOOKUP("&lt;Zeilentitel_39&gt;",Uebersetzungen!$B$4:$E$78,Uebersetzungen!$B$2+1,FALSE)</f>
        <v>Surselva</v>
      </c>
      <c r="B57" s="5"/>
      <c r="C57" s="13">
        <v>13789</v>
      </c>
      <c r="D57" s="17">
        <v>12445</v>
      </c>
      <c r="E57" s="10">
        <f t="shared" si="1"/>
        <v>0.10799517878666132</v>
      </c>
      <c r="F57" s="44">
        <v>0.13936078794288731</v>
      </c>
      <c r="G57" s="29"/>
      <c r="H57" s="98"/>
      <c r="I57" s="99"/>
      <c r="J57" s="100"/>
      <c r="K57" s="96"/>
    </row>
    <row r="58" spans="1:11" x14ac:dyDescent="0.2">
      <c r="A58" s="24" t="str">
        <f>VLOOKUP("&lt;Zeilentitel_40&gt;",Uebersetzungen!$B$4:$E$78,Uebersetzungen!$B$2+1,FALSE)</f>
        <v>Valposchiavo</v>
      </c>
      <c r="B58" s="5"/>
      <c r="C58" s="13">
        <v>2858</v>
      </c>
      <c r="D58" s="17">
        <v>2739</v>
      </c>
      <c r="E58" s="10">
        <f t="shared" si="1"/>
        <v>4.3446513326031333E-2</v>
      </c>
      <c r="F58" s="44">
        <v>0.47639218927575167</v>
      </c>
      <c r="G58" s="29"/>
      <c r="H58" s="98"/>
      <c r="I58" s="99"/>
      <c r="J58" s="100"/>
      <c r="K58" s="96"/>
    </row>
    <row r="59" spans="1:11" x14ac:dyDescent="0.2">
      <c r="A59" s="24" t="str">
        <f>VLOOKUP("&lt;Zeilentitel_41&gt;",Uebersetzungen!$B$4:$E$78,Uebersetzungen!$B$2+1,FALSE)</f>
        <v>Vals</v>
      </c>
      <c r="B59" s="5"/>
      <c r="C59" s="13">
        <v>7662</v>
      </c>
      <c r="D59" s="17">
        <v>7439</v>
      </c>
      <c r="E59" s="10">
        <f t="shared" si="1"/>
        <v>2.9977147466057286E-2</v>
      </c>
      <c r="F59" s="44">
        <v>0.12030646859281791</v>
      </c>
      <c r="G59" s="29"/>
      <c r="H59" s="98"/>
      <c r="I59" s="99"/>
      <c r="J59" s="100"/>
      <c r="K59" s="96"/>
    </row>
    <row r="60" spans="1:11" x14ac:dyDescent="0.2">
      <c r="A60" s="24" t="str">
        <f>VLOOKUP("&lt;Zeilentitel_42&gt;",Uebersetzungen!$B$4:$E$78,Uebersetzungen!$B$2+1,FALSE)</f>
        <v>Viamala</v>
      </c>
      <c r="B60" s="7"/>
      <c r="C60" s="14">
        <v>7602</v>
      </c>
      <c r="D60" s="18">
        <v>6371</v>
      </c>
      <c r="E60" s="11">
        <f t="shared" si="1"/>
        <v>0.19321927483911483</v>
      </c>
      <c r="F60" s="46">
        <v>0.23405084250511354</v>
      </c>
      <c r="G60" s="29"/>
      <c r="H60" s="98"/>
      <c r="I60" s="99"/>
      <c r="J60" s="100"/>
      <c r="K60" s="96"/>
    </row>
    <row r="61" spans="1:11" ht="13.5" thickBot="1" x14ac:dyDescent="0.25">
      <c r="A61" s="26" t="str">
        <f>VLOOKUP("&lt;Zeilentitel_43&gt;",Uebersetzungen!$B$4:$E$78,Uebersetzungen!$B$2+1,FALSE)</f>
        <v>Graubünden</v>
      </c>
      <c r="B61" s="6"/>
      <c r="C61" s="30">
        <v>720367</v>
      </c>
      <c r="D61" s="40">
        <v>697429</v>
      </c>
      <c r="E61" s="65">
        <f t="shared" si="1"/>
        <v>3.2889369383837019E-2</v>
      </c>
      <c r="F61" s="66">
        <v>0.20615636748800892</v>
      </c>
      <c r="G61" s="29"/>
      <c r="H61" s="36"/>
      <c r="I61" s="37"/>
      <c r="J61" s="37"/>
      <c r="K61" s="96"/>
    </row>
    <row r="62" spans="1:11" x14ac:dyDescent="0.2">
      <c r="G62" s="96"/>
      <c r="H62" s="96"/>
      <c r="I62" s="96"/>
      <c r="J62" s="96"/>
      <c r="K62" s="96"/>
    </row>
    <row r="63" spans="1:11" x14ac:dyDescent="0.2">
      <c r="A63" s="4" t="str">
        <f>VLOOKUP("&lt;Legende_1&gt;",Uebersetzungen!$B$4:$E$80,Uebersetzungen!$B$2+1,FALSE)</f>
        <v>Aktuelle Zuordnung der politischen Gemeinden zu Destinationen:</v>
      </c>
      <c r="E63" s="67" t="s">
        <v>214</v>
      </c>
      <c r="F63" s="49"/>
    </row>
    <row r="65" spans="1:11" ht="10.5" customHeight="1" x14ac:dyDescent="0.2"/>
    <row r="66" spans="1:11" ht="18" x14ac:dyDescent="0.25">
      <c r="A66" s="2" t="str">
        <f>VLOOKUP("&lt;Titel3&gt;",Uebersetzungen!$B$4:$E$31,Uebersetzungen!$B$2+1,FALSE)</f>
        <v>Hotel- und Kurbetriebe: Logiernächte im Januar 2024, nach Schweizer Tourismusregionen</v>
      </c>
      <c r="B66" s="3"/>
      <c r="C66" s="3"/>
      <c r="D66" s="3"/>
      <c r="E66" s="3"/>
      <c r="F66" s="3"/>
    </row>
    <row r="67" spans="1:11" s="123" customFormat="1" x14ac:dyDescent="0.2">
      <c r="A67" s="120" t="str">
        <f>VLOOKUP("&lt;Titelprov&gt;",Uebersetzungen!$B$4:$E$304,Uebersetzungen!$B$2+1,FALSE)</f>
        <v>definitive Ergebnisse</v>
      </c>
      <c r="B67" s="121"/>
      <c r="C67" s="122"/>
      <c r="D67" s="122"/>
      <c r="E67" s="122"/>
      <c r="F67" s="122"/>
      <c r="G67" s="122"/>
    </row>
    <row r="68" spans="1:11" ht="18.75" customHeight="1" thickBot="1" x14ac:dyDescent="0.3">
      <c r="A68" s="50"/>
      <c r="G68" s="96"/>
      <c r="H68" s="96"/>
      <c r="I68" s="96"/>
      <c r="J68" s="96"/>
      <c r="K68" s="96"/>
    </row>
    <row r="69" spans="1:11" ht="51" customHeight="1" x14ac:dyDescent="0.2">
      <c r="A69" s="8"/>
      <c r="B69" s="9"/>
      <c r="C69" s="20" t="str">
        <f>VLOOKUP("&lt;SpaltenTitel_1&gt;",Uebersetzungen!$B$4:$E$34,Uebersetzungen!$B$2+1,FALSE)</f>
        <v>Januar 2024</v>
      </c>
      <c r="D69" s="21" t="str">
        <f>VLOOKUP("&lt;SpaltenTitel_2&gt;",Uebersetzungen!$B$4:$E$34,Uebersetzungen!$B$2+1,FALSE)</f>
        <v>Januar 2023</v>
      </c>
      <c r="E69" s="22" t="str">
        <f>VLOOKUP("&lt;SpaltenTitel_3&gt;",Uebersetzungen!$B$4:$E$34,Uebersetzungen!$B$2+1,FALSE)</f>
        <v>Veränderung 24/23 in %</v>
      </c>
      <c r="F69" s="23" t="str">
        <f>VLOOKUP("&lt;SpaltenTitel_4&gt;",Uebersetzungen!$B$4:$E$34,Uebersetzungen!$B$2+1,FALSE)</f>
        <v>Veränderung zum
5-Jahresmittel 
in %</v>
      </c>
      <c r="G69" s="97"/>
      <c r="H69" s="97"/>
      <c r="I69" s="97"/>
      <c r="J69" s="97"/>
      <c r="K69" s="96"/>
    </row>
    <row r="70" spans="1:11" x14ac:dyDescent="0.2">
      <c r="A70" s="24" t="str">
        <f>VLOOKUP("&lt;Zeilentitel_44&gt;",Uebersetzungen!$B$4:$E$78,Uebersetzungen!$B$2+1,FALSE)</f>
        <v>Aargau und Solothurn Region</v>
      </c>
      <c r="B70" s="5"/>
      <c r="C70" s="13">
        <v>71052</v>
      </c>
      <c r="D70" s="17">
        <v>69417</v>
      </c>
      <c r="E70" s="10">
        <f>C70/D70-1</f>
        <v>2.3553308267427298E-2</v>
      </c>
      <c r="F70" s="44">
        <v>0.27984264052654906</v>
      </c>
      <c r="G70" s="29"/>
      <c r="H70" s="98"/>
      <c r="I70" s="99"/>
      <c r="J70" s="100"/>
      <c r="K70" s="96"/>
    </row>
    <row r="71" spans="1:11" x14ac:dyDescent="0.2">
      <c r="A71" s="24" t="str">
        <f>VLOOKUP("&lt;Zeilentitel_45&gt;",Uebersetzungen!$B$4:$E$78,Uebersetzungen!$B$2+1,FALSE)</f>
        <v>Basel Region</v>
      </c>
      <c r="B71" s="5"/>
      <c r="C71" s="13">
        <v>100686</v>
      </c>
      <c r="D71" s="17">
        <v>91677</v>
      </c>
      <c r="E71" s="10">
        <f t="shared" ref="E71:E83" si="2">C71/D71-1</f>
        <v>9.8268922412382498E-2</v>
      </c>
      <c r="F71" s="44">
        <v>0.35981308411214963</v>
      </c>
      <c r="G71" s="29"/>
      <c r="H71" s="98"/>
      <c r="I71" s="99"/>
      <c r="J71" s="100"/>
      <c r="K71" s="96"/>
    </row>
    <row r="72" spans="1:11" x14ac:dyDescent="0.2">
      <c r="A72" s="24" t="str">
        <f>VLOOKUP("&lt;Zeilentitel_46&gt;",Uebersetzungen!$B$4:$E$78,Uebersetzungen!$B$2+1,FALSE)</f>
        <v>Bern Region</v>
      </c>
      <c r="B72" s="5"/>
      <c r="C72" s="13">
        <v>400115</v>
      </c>
      <c r="D72" s="17">
        <v>392655</v>
      </c>
      <c r="E72" s="10">
        <f t="shared" si="2"/>
        <v>1.8998866689587501E-2</v>
      </c>
      <c r="F72" s="44">
        <v>0.24014215383013182</v>
      </c>
      <c r="G72" s="29"/>
      <c r="H72" s="98"/>
      <c r="I72" s="99"/>
      <c r="J72" s="100"/>
      <c r="K72" s="96"/>
    </row>
    <row r="73" spans="1:11" x14ac:dyDescent="0.2">
      <c r="A73" s="24" t="str">
        <f>VLOOKUP("&lt;Zeilentitel_47&gt;",Uebersetzungen!$B$4:$E$78,Uebersetzungen!$B$2+1,FALSE)</f>
        <v>Fribourg Region</v>
      </c>
      <c r="B73" s="5"/>
      <c r="C73" s="13">
        <v>30059</v>
      </c>
      <c r="D73" s="17">
        <v>28126</v>
      </c>
      <c r="E73" s="10">
        <f t="shared" si="2"/>
        <v>6.8726445281945603E-2</v>
      </c>
      <c r="F73" s="44">
        <v>0.32186738669645298</v>
      </c>
      <c r="G73" s="29"/>
      <c r="H73" s="98"/>
      <c r="I73" s="99"/>
      <c r="J73" s="100"/>
      <c r="K73" s="96"/>
    </row>
    <row r="74" spans="1:11" x14ac:dyDescent="0.2">
      <c r="A74" s="24" t="str">
        <f>VLOOKUP("&lt;Zeilentitel_48&gt;",Uebersetzungen!$B$4:$E$78,Uebersetzungen!$B$2+1,FALSE)</f>
        <v>Genf</v>
      </c>
      <c r="B74" s="5"/>
      <c r="C74" s="13">
        <v>245054</v>
      </c>
      <c r="D74" s="17">
        <v>220557</v>
      </c>
      <c r="E74" s="10">
        <f t="shared" si="2"/>
        <v>0.11106879400789826</v>
      </c>
      <c r="F74" s="44">
        <v>0.47630539895440371</v>
      </c>
      <c r="G74" s="29"/>
      <c r="H74" s="98"/>
      <c r="I74" s="99"/>
      <c r="J74" s="100"/>
      <c r="K74" s="96"/>
    </row>
    <row r="75" spans="1:11" x14ac:dyDescent="0.2">
      <c r="A75" s="110" t="str">
        <f>VLOOKUP("&lt;Zeilentitel_49&gt;",Uebersetzungen!$B$4:$E$78,Uebersetzungen!$B$2+1,FALSE)</f>
        <v>Graubünden</v>
      </c>
      <c r="B75" s="60"/>
      <c r="C75" s="61">
        <v>720367</v>
      </c>
      <c r="D75" s="62">
        <v>697429</v>
      </c>
      <c r="E75" s="63">
        <f t="shared" si="2"/>
        <v>3.2889369383837019E-2</v>
      </c>
      <c r="F75" s="64">
        <v>0.20615636748800892</v>
      </c>
      <c r="G75" s="29"/>
      <c r="H75" s="98"/>
      <c r="I75" s="99"/>
      <c r="J75" s="100"/>
      <c r="K75" s="96"/>
    </row>
    <row r="76" spans="1:11" x14ac:dyDescent="0.2">
      <c r="A76" s="24" t="str">
        <f>VLOOKUP("&lt;Zeilentitel_50&gt;",Uebersetzungen!$B$4:$E$78,Uebersetzungen!$B$2+1,FALSE)</f>
        <v>Jura &amp; Drei-Seen-Land</v>
      </c>
      <c r="B76" s="5"/>
      <c r="C76" s="13">
        <v>27919</v>
      </c>
      <c r="D76" s="17">
        <v>29778</v>
      </c>
      <c r="E76" s="10">
        <f t="shared" si="2"/>
        <v>-6.2428638592249341E-2</v>
      </c>
      <c r="F76" s="44">
        <v>0.1324971808247406</v>
      </c>
      <c r="G76" s="29"/>
      <c r="H76" s="98"/>
      <c r="I76" s="99"/>
      <c r="J76" s="100"/>
      <c r="K76" s="96"/>
    </row>
    <row r="77" spans="1:11" x14ac:dyDescent="0.2">
      <c r="A77" s="24" t="str">
        <f>VLOOKUP("&lt;Zeilentitel_51&gt;",Uebersetzungen!$B$4:$E$78,Uebersetzungen!$B$2+1,FALSE)</f>
        <v>Luzern / Vierwaldstättersee</v>
      </c>
      <c r="B77" s="5"/>
      <c r="C77" s="13">
        <v>226191</v>
      </c>
      <c r="D77" s="17">
        <v>224801</v>
      </c>
      <c r="E77" s="10">
        <f t="shared" si="2"/>
        <v>6.1832465158073724E-3</v>
      </c>
      <c r="F77" s="44">
        <v>0.20315001675540834</v>
      </c>
      <c r="G77" s="29"/>
      <c r="H77" s="98"/>
      <c r="I77" s="99"/>
      <c r="J77" s="100"/>
      <c r="K77" s="96"/>
    </row>
    <row r="78" spans="1:11" x14ac:dyDescent="0.2">
      <c r="A78" s="24" t="str">
        <f>VLOOKUP("&lt;Zeilentitel_52&gt;",Uebersetzungen!$B$4:$E$78,Uebersetzungen!$B$2+1,FALSE)</f>
        <v>Ostschweiz</v>
      </c>
      <c r="B78" s="5"/>
      <c r="C78" s="13">
        <v>123413</v>
      </c>
      <c r="D78" s="17">
        <v>120789</v>
      </c>
      <c r="E78" s="10">
        <f t="shared" si="2"/>
        <v>2.172383246818832E-2</v>
      </c>
      <c r="F78" s="44">
        <v>0.21039891879804551</v>
      </c>
      <c r="G78" s="29"/>
      <c r="H78" s="98"/>
      <c r="I78" s="99"/>
      <c r="J78" s="100"/>
      <c r="K78" s="96"/>
    </row>
    <row r="79" spans="1:11" x14ac:dyDescent="0.2">
      <c r="A79" s="24" t="str">
        <f>VLOOKUP("&lt;Zeilentitel_53&gt;",Uebersetzungen!$B$4:$E$78,Uebersetzungen!$B$2+1,FALSE)</f>
        <v>Tessin</v>
      </c>
      <c r="B79" s="5"/>
      <c r="C79" s="13">
        <v>60763</v>
      </c>
      <c r="D79" s="17">
        <v>61606</v>
      </c>
      <c r="E79" s="10">
        <f t="shared" si="2"/>
        <v>-1.3683732104015855E-2</v>
      </c>
      <c r="F79" s="44">
        <v>0.10011732074187263</v>
      </c>
      <c r="G79" s="29"/>
      <c r="H79" s="98"/>
      <c r="I79" s="99"/>
      <c r="J79" s="100"/>
      <c r="K79" s="96"/>
    </row>
    <row r="80" spans="1:11" x14ac:dyDescent="0.2">
      <c r="A80" s="24" t="str">
        <f>VLOOKUP("&lt;Zeilentitel_54&gt;",Uebersetzungen!$B$4:$E$78,Uebersetzungen!$B$2+1,FALSE)</f>
        <v>Waadt</v>
      </c>
      <c r="B80" s="5"/>
      <c r="C80" s="13">
        <v>169158</v>
      </c>
      <c r="D80" s="17">
        <v>172939</v>
      </c>
      <c r="E80" s="10">
        <f t="shared" si="2"/>
        <v>-2.1863200319187648E-2</v>
      </c>
      <c r="F80" s="44">
        <v>0.10006724302304848</v>
      </c>
      <c r="G80" s="29"/>
      <c r="H80" s="98"/>
      <c r="I80" s="99"/>
      <c r="J80" s="100"/>
      <c r="K80" s="96"/>
    </row>
    <row r="81" spans="1:11" x14ac:dyDescent="0.2">
      <c r="A81" s="24" t="str">
        <f>VLOOKUP("&lt;Zeilentitel_55&gt;",Uebersetzungen!$B$4:$E$78,Uebersetzungen!$B$2+1,FALSE)</f>
        <v>Wallis</v>
      </c>
      <c r="B81" s="5"/>
      <c r="C81" s="32">
        <v>471006</v>
      </c>
      <c r="D81" s="17">
        <v>468456</v>
      </c>
      <c r="E81" s="33">
        <f t="shared" si="2"/>
        <v>5.4434141093293587E-3</v>
      </c>
      <c r="F81" s="44">
        <v>0.19219931901227416</v>
      </c>
      <c r="G81" s="29"/>
      <c r="H81" s="98"/>
      <c r="I81" s="99"/>
      <c r="J81" s="100"/>
      <c r="K81" s="96"/>
    </row>
    <row r="82" spans="1:11" x14ac:dyDescent="0.2">
      <c r="A82" s="24" t="str">
        <f>VLOOKUP("&lt;Zeilentitel_56&gt;",Uebersetzungen!$B$4:$E$78,Uebersetzungen!$B$2+1,FALSE)</f>
        <v>Zürich Region</v>
      </c>
      <c r="B82" s="7"/>
      <c r="C82" s="42">
        <v>434187</v>
      </c>
      <c r="D82" s="18">
        <v>424322</v>
      </c>
      <c r="E82" s="43">
        <f t="shared" si="2"/>
        <v>2.3248853465057229E-2</v>
      </c>
      <c r="F82" s="48">
        <v>0.38274177049748337</v>
      </c>
      <c r="G82" s="29"/>
      <c r="H82" s="98"/>
      <c r="I82" s="99"/>
      <c r="J82" s="99"/>
      <c r="K82" s="96"/>
    </row>
    <row r="83" spans="1:11" ht="13.5" thickBot="1" x14ac:dyDescent="0.25">
      <c r="A83" s="71" t="str">
        <f>VLOOKUP("&lt;Zeilentitel_57&gt;",Uebersetzungen!$B$4:$E$78,Uebersetzungen!$B$2+1,FALSE)</f>
        <v>Schweiz</v>
      </c>
      <c r="B83" s="39"/>
      <c r="C83" s="30">
        <v>3079970</v>
      </c>
      <c r="D83" s="40">
        <v>3002552</v>
      </c>
      <c r="E83" s="41">
        <f t="shared" si="2"/>
        <v>2.5784066354221258E-2</v>
      </c>
      <c r="F83" s="45">
        <v>0.24651579253760381</v>
      </c>
      <c r="G83" s="29"/>
      <c r="H83" s="36"/>
      <c r="I83" s="37"/>
      <c r="J83" s="38"/>
      <c r="K83" s="96"/>
    </row>
    <row r="84" spans="1:11" x14ac:dyDescent="0.2">
      <c r="A84" s="34"/>
      <c r="B84" s="35"/>
      <c r="C84" s="29"/>
      <c r="D84" s="36"/>
      <c r="E84" s="37"/>
      <c r="F84" s="38"/>
      <c r="G84" s="96"/>
      <c r="H84" s="96"/>
      <c r="I84" s="96"/>
      <c r="J84" s="96"/>
      <c r="K84" s="96"/>
    </row>
    <row r="85" spans="1:11" x14ac:dyDescent="0.2">
      <c r="A85" s="4" t="str">
        <f>VLOOKUP("&lt;Quelle_1&gt;",Uebersetzungen!$B$4:$E$86,Uebersetzungen!$B$2+1,FALSE)</f>
        <v>Quelle: BFS (HESTA)</v>
      </c>
    </row>
    <row r="86" spans="1:11" ht="12.75" customHeight="1" x14ac:dyDescent="0.2">
      <c r="A86" s="4" t="str">
        <f>VLOOKUP("&lt;Aktualisierung&gt;",Uebersetzungen!$B$4:$E$86,Uebersetzungen!$B$2+1,FALSE)</f>
        <v>Letztmals aktualisiert am: 07.03.2024</v>
      </c>
    </row>
    <row r="87" spans="1:11" x14ac:dyDescent="0.2">
      <c r="A87" s="4" t="str">
        <f>VLOOKUP("&lt;Legende_2&gt;",Uebersetzungen!$B$4:$E$86,Uebersetzungen!$B$2+1,FALSE)</f>
        <v>Kontakt: Luzius Stricker, 081 257 23 74, luzius.stricker@awt.gr.ch</v>
      </c>
    </row>
    <row r="88" spans="1:11" x14ac:dyDescent="0.2">
      <c r="A88" s="31" t="str">
        <f>VLOOKUP("&lt;Legende_3&gt;",Uebersetzungen!$B$4:$E$86,Uebersetzungen!$B$2+1,FALSE)</f>
        <v>Daten des Februar 2024 erscheinen am 8. April 2024.</v>
      </c>
    </row>
    <row r="90" spans="1:11" x14ac:dyDescent="0.2">
      <c r="A90" s="4" t="s">
        <v>55</v>
      </c>
    </row>
  </sheetData>
  <sheetProtection sheet="1" objects="1" scenarios="1"/>
  <mergeCells count="1">
    <mergeCell ref="A7:D7"/>
  </mergeCells>
  <hyperlinks>
    <hyperlink ref="E63" r:id="rId1"/>
  </hyperlinks>
  <pageMargins left="0.70866141732283472" right="0.70866141732283472" top="0.78740157480314965" bottom="0.78740157480314965" header="0.31496062992125984" footer="0.31496062992125984"/>
  <pageSetup paperSize="9" scale="90" fitToHeight="2" orientation="landscape" r:id="rId2"/>
  <rowBreaks count="2" manualBreakCount="2">
    <brk id="38" max="9" man="1"/>
    <brk id="65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Option Button 1">
              <controlPr defaultSize="0" autoFill="0" autoLine="0" autoPict="0">
                <anchor moveWithCells="1">
                  <from>
                    <xdr:col>6</xdr:col>
                    <xdr:colOff>76200</xdr:colOff>
                    <xdr:row>1</xdr:row>
                    <xdr:rowOff>114300</xdr:rowOff>
                  </from>
                  <to>
                    <xdr:col>7</xdr:col>
                    <xdr:colOff>400050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Option Button 2">
              <controlPr defaultSize="0" autoFill="0" autoLine="0" autoPict="0">
                <anchor moveWithCells="1">
                  <from>
                    <xdr:col>6</xdr:col>
                    <xdr:colOff>76200</xdr:colOff>
                    <xdr:row>2</xdr:row>
                    <xdr:rowOff>104775</xdr:rowOff>
                  </from>
                  <to>
                    <xdr:col>8</xdr:col>
                    <xdr:colOff>47625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Option Button 3">
              <controlPr defaultSize="0" autoFill="0" autoLine="0" autoPict="0">
                <anchor moveWithCells="1">
                  <from>
                    <xdr:col>6</xdr:col>
                    <xdr:colOff>76200</xdr:colOff>
                    <xdr:row>3</xdr:row>
                    <xdr:rowOff>66675</xdr:rowOff>
                  </from>
                  <to>
                    <xdr:col>7</xdr:col>
                    <xdr:colOff>400050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F240"/>
  <sheetViews>
    <sheetView workbookViewId="0">
      <selection activeCell="C35" sqref="C35"/>
    </sheetView>
  </sheetViews>
  <sheetFormatPr baseColWidth="10" defaultColWidth="12.5703125" defaultRowHeight="12.75" x14ac:dyDescent="0.2"/>
  <cols>
    <col min="1" max="1" width="8.5703125" style="70" bestFit="1" customWidth="1"/>
    <col min="2" max="2" width="17.7109375" style="70" bestFit="1" customWidth="1"/>
    <col min="3" max="3" width="53" style="70" customWidth="1"/>
    <col min="4" max="4" width="47.5703125" style="70" bestFit="1" customWidth="1"/>
    <col min="5" max="5" width="42.28515625" style="70" customWidth="1"/>
    <col min="6" max="16384" width="12.5703125" style="70"/>
  </cols>
  <sheetData>
    <row r="1" spans="1:6" x14ac:dyDescent="0.2">
      <c r="A1" s="91" t="s">
        <v>56</v>
      </c>
      <c r="B1" s="91" t="s">
        <v>57</v>
      </c>
      <c r="C1" s="91" t="s">
        <v>58</v>
      </c>
      <c r="D1" s="91" t="s">
        <v>59</v>
      </c>
      <c r="E1" s="91" t="s">
        <v>60</v>
      </c>
      <c r="F1" s="90"/>
    </row>
    <row r="2" spans="1:6" ht="13.5" thickBot="1" x14ac:dyDescent="0.25">
      <c r="A2" s="89" t="s">
        <v>61</v>
      </c>
      <c r="B2" s="92">
        <v>1</v>
      </c>
      <c r="C2" s="92"/>
      <c r="D2" s="90"/>
      <c r="E2" s="90"/>
      <c r="F2" s="90"/>
    </row>
    <row r="3" spans="1:6" s="113" customFormat="1" ht="26.25" thickBot="1" x14ac:dyDescent="0.25">
      <c r="A3" s="111"/>
      <c r="B3" s="112" t="s">
        <v>327</v>
      </c>
      <c r="C3" s="115">
        <v>2024</v>
      </c>
      <c r="D3" s="114">
        <f>C3-2000</f>
        <v>24</v>
      </c>
    </row>
    <row r="4" spans="1:6" x14ac:dyDescent="0.2">
      <c r="A4" s="89"/>
      <c r="B4" s="116" t="s">
        <v>62</v>
      </c>
      <c r="C4" s="116" t="s">
        <v>63</v>
      </c>
      <c r="D4" s="116" t="s">
        <v>64</v>
      </c>
      <c r="E4" s="116" t="s">
        <v>65</v>
      </c>
      <c r="F4" s="90"/>
    </row>
    <row r="5" spans="1:6" x14ac:dyDescent="0.2">
      <c r="A5" s="89"/>
      <c r="B5" s="88" t="s">
        <v>328</v>
      </c>
      <c r="C5" s="88" t="s">
        <v>330</v>
      </c>
      <c r="D5" s="88" t="s">
        <v>331</v>
      </c>
      <c r="E5" s="88" t="s">
        <v>332</v>
      </c>
      <c r="F5" s="90"/>
    </row>
    <row r="6" spans="1:6" ht="51" x14ac:dyDescent="0.2">
      <c r="A6" s="89"/>
      <c r="B6" s="119" t="s">
        <v>329</v>
      </c>
      <c r="C6" s="118" t="s">
        <v>330</v>
      </c>
      <c r="D6" s="118" t="s">
        <v>331</v>
      </c>
      <c r="E6" s="118" t="s">
        <v>332</v>
      </c>
      <c r="F6" s="90"/>
    </row>
    <row r="7" spans="1:6" ht="25.5" x14ac:dyDescent="0.2">
      <c r="A7" s="89" t="s">
        <v>66</v>
      </c>
      <c r="B7" s="116" t="s">
        <v>104</v>
      </c>
      <c r="C7" s="116" t="str">
        <f>"Hotel- und Kurbetriebe: Logiernächte im Januar "&amp;$C$3&amp;", nach Herkunft"</f>
        <v>Hotel- und Kurbetriebe: Logiernächte im Januar 2024, nach Herkunft</v>
      </c>
      <c r="D7" s="116" t="str">
        <f>"Manaschis d' hotel e da cura: pernottaziuns il schaner "&amp;$C$3&amp;", tenor la derivanza"</f>
        <v>Manaschis d' hotel e da cura: pernottaziuns il schaner 2024, tenor la derivanza</v>
      </c>
      <c r="E7" s="116" t="str">
        <f>"Alberghi e stabilimenti di cura: pernottamenti nel mese di gennaio "&amp;$C$3&amp;", per provenienza"</f>
        <v>Alberghi e stabilimenti di cura: pernottamenti nel mese di gennaio 2024, per provenienza</v>
      </c>
      <c r="F7" s="90"/>
    </row>
    <row r="8" spans="1:6" ht="25.5" x14ac:dyDescent="0.2">
      <c r="A8" s="89"/>
      <c r="B8" s="116" t="s">
        <v>105</v>
      </c>
      <c r="C8" s="116" t="str">
        <f>"Hotel- und Kurbetriebe: Logiernächte im Januar "&amp;$C$3&amp;", nach Destinationen"</f>
        <v>Hotel- und Kurbetriebe: Logiernächte im Januar 2024, nach Destinationen</v>
      </c>
      <c r="D8" s="116" t="str">
        <f>"Manaschis d' hotel e da cura: pernottaziuns il schaner "&amp;$C$3&amp;", tenor destinaziuns"</f>
        <v>Manaschis d' hotel e da cura: pernottaziuns il schaner 2024, tenor destinaziuns</v>
      </c>
      <c r="E8" s="116" t="str">
        <f>"Alberghi e stabilimenti di cura: pernottamenti nel mese di gennaio "&amp;$C$3&amp;", per destinazione"</f>
        <v>Alberghi e stabilimenti di cura: pernottamenti nel mese di gennaio 2024, per destinazione</v>
      </c>
      <c r="F8" s="90"/>
    </row>
    <row r="9" spans="1:6" ht="38.25" x14ac:dyDescent="0.2">
      <c r="A9" s="89"/>
      <c r="B9" s="116" t="s">
        <v>106</v>
      </c>
      <c r="C9" s="116" t="str">
        <f>"Hotel- und Kurbetriebe: Logiernächte im Januar "&amp;$C$3&amp;", nach Schweizer Tourismusregionen"</f>
        <v>Hotel- und Kurbetriebe: Logiernächte im Januar 2024, nach Schweizer Tourismusregionen</v>
      </c>
      <c r="D9" s="116" t="str">
        <f>"Manaschis d' hotel e da cura: pernottaziuns il schaner "&amp;$C$3&amp;", tenor regiuns turisticas svizras"</f>
        <v>Manaschis d' hotel e da cura: pernottaziuns il schaner 2024, tenor regiuns turisticas svizras</v>
      </c>
      <c r="E9" s="116" t="str">
        <f>"Alberghi e stabilimenti di cura: pernottamenti nel mese di gennaio "&amp;$C$3&amp;", per regioni turistiche svizzere"</f>
        <v>Alberghi e stabilimenti di cura: pernottamenti nel mese di gennaio 2024, per regioni turistiche svizzere</v>
      </c>
      <c r="F9" s="90"/>
    </row>
    <row r="10" spans="1:6" x14ac:dyDescent="0.2">
      <c r="A10" s="89"/>
      <c r="B10" s="89"/>
      <c r="C10" s="89"/>
      <c r="D10" s="89"/>
      <c r="E10" s="89"/>
      <c r="F10" s="90"/>
    </row>
    <row r="11" spans="1:6" x14ac:dyDescent="0.2">
      <c r="A11" s="89" t="s">
        <v>67</v>
      </c>
      <c r="B11" s="116" t="s">
        <v>68</v>
      </c>
      <c r="C11" s="116" t="str">
        <f>"Januar "&amp;$C$3</f>
        <v>Januar 2024</v>
      </c>
      <c r="D11" s="116" t="str">
        <f>"Schaner "&amp;$C$3</f>
        <v>Schaner 2024</v>
      </c>
      <c r="E11" s="116" t="str">
        <f>"Gennaio "&amp;$C$3</f>
        <v>Gennaio 2024</v>
      </c>
      <c r="F11" s="90"/>
    </row>
    <row r="12" spans="1:6" x14ac:dyDescent="0.2">
      <c r="A12" s="89"/>
      <c r="B12" s="116" t="s">
        <v>69</v>
      </c>
      <c r="C12" s="116" t="str">
        <f>"Januar "&amp;$C$3-1</f>
        <v>Januar 2023</v>
      </c>
      <c r="D12" s="116" t="str">
        <f>"Schaner "&amp;$C$3-1</f>
        <v>Schaner 2023</v>
      </c>
      <c r="E12" s="116" t="str">
        <f>"Gennaio "&amp;$C$3-1</f>
        <v>Gennaio 2023</v>
      </c>
      <c r="F12" s="90"/>
    </row>
    <row r="13" spans="1:6" x14ac:dyDescent="0.2">
      <c r="A13" s="89"/>
      <c r="B13" s="116" t="s">
        <v>70</v>
      </c>
      <c r="C13" s="116" t="str">
        <f>"Veränderung "&amp;$D$3&amp;"/"&amp;$D$3-1&amp;" in %"</f>
        <v>Veränderung 24/23 in %</v>
      </c>
      <c r="D13" s="116" t="str">
        <f>"Midament "&amp;$D$3&amp;"/"&amp;$D$3-1&amp;" in %"</f>
        <v>Midament 24/23 in %</v>
      </c>
      <c r="E13" s="116" t="str">
        <f>"Variazione "&amp;$D$3&amp;"/"&amp;$D$3-1&amp;" in %"</f>
        <v>Variazione 24/23 in %</v>
      </c>
      <c r="F13" s="90"/>
    </row>
    <row r="14" spans="1:6" ht="38.25" x14ac:dyDescent="0.2">
      <c r="A14" s="89"/>
      <c r="B14" s="116" t="s">
        <v>137</v>
      </c>
      <c r="C14" s="116" t="s">
        <v>52</v>
      </c>
      <c r="D14" s="116" t="s">
        <v>142</v>
      </c>
      <c r="E14" s="117" t="s">
        <v>143</v>
      </c>
      <c r="F14" s="90"/>
    </row>
    <row r="15" spans="1:6" x14ac:dyDescent="0.2">
      <c r="A15" s="89"/>
      <c r="B15" s="116" t="s">
        <v>138</v>
      </c>
      <c r="C15" s="116"/>
      <c r="D15" s="116"/>
      <c r="E15" s="116"/>
      <c r="F15" s="90"/>
    </row>
    <row r="16" spans="1:6" x14ac:dyDescent="0.2">
      <c r="A16" s="89"/>
      <c r="B16" s="116" t="s">
        <v>139</v>
      </c>
      <c r="C16" s="116"/>
      <c r="D16" s="116"/>
      <c r="E16" s="116"/>
      <c r="F16" s="90"/>
    </row>
    <row r="17" spans="1:6" x14ac:dyDescent="0.2">
      <c r="A17" s="89"/>
      <c r="B17" s="116" t="s">
        <v>140</v>
      </c>
      <c r="C17" s="116" t="str">
        <f>"Veränderung "&amp;$D$3&amp;"/"&amp;$D$3-1&amp;" in %"</f>
        <v>Veränderung 24/23 in %</v>
      </c>
      <c r="D17" s="116" t="str">
        <f>"Midament "&amp;$D$3&amp;"/"&amp;$D$3-1&amp;" in %"</f>
        <v>Midament 24/23 in %</v>
      </c>
      <c r="E17" s="116" t="str">
        <f>"Variazione "&amp;$D$3&amp;"/"&amp;$D$3-1&amp;" in %"</f>
        <v>Variazione 24/23 in %</v>
      </c>
      <c r="F17" s="90"/>
    </row>
    <row r="18" spans="1:6" ht="38.25" x14ac:dyDescent="0.2">
      <c r="A18" s="89"/>
      <c r="B18" s="116" t="s">
        <v>141</v>
      </c>
      <c r="C18" s="116" t="s">
        <v>52</v>
      </c>
      <c r="D18" s="116" t="s">
        <v>142</v>
      </c>
      <c r="E18" s="117" t="s">
        <v>143</v>
      </c>
      <c r="F18" s="90"/>
    </row>
    <row r="19" spans="1:6" x14ac:dyDescent="0.2">
      <c r="A19" s="89"/>
      <c r="B19" s="90"/>
      <c r="C19" s="90"/>
      <c r="D19" s="90"/>
      <c r="E19" s="90"/>
      <c r="F19" s="90"/>
    </row>
    <row r="20" spans="1:6" x14ac:dyDescent="0.2">
      <c r="A20" s="89" t="s">
        <v>66</v>
      </c>
      <c r="B20" s="70" t="s">
        <v>71</v>
      </c>
      <c r="C20" s="70" t="s">
        <v>11</v>
      </c>
      <c r="D20" s="70" t="s">
        <v>148</v>
      </c>
      <c r="E20" s="70" t="s">
        <v>171</v>
      </c>
      <c r="F20" s="90"/>
    </row>
    <row r="21" spans="1:6" x14ac:dyDescent="0.2">
      <c r="A21" s="90"/>
      <c r="B21" s="70" t="s">
        <v>72</v>
      </c>
      <c r="C21" s="70" t="s">
        <v>12</v>
      </c>
      <c r="D21" s="70" t="s">
        <v>149</v>
      </c>
      <c r="E21" s="70" t="s">
        <v>149</v>
      </c>
      <c r="F21" s="90"/>
    </row>
    <row r="22" spans="1:6" x14ac:dyDescent="0.2">
      <c r="A22" s="90"/>
      <c r="B22" s="70" t="s">
        <v>73</v>
      </c>
      <c r="C22" s="70" t="s">
        <v>14</v>
      </c>
      <c r="D22" s="70" t="s">
        <v>150</v>
      </c>
      <c r="E22" s="70" t="s">
        <v>150</v>
      </c>
      <c r="F22" s="90"/>
    </row>
    <row r="23" spans="1:6" x14ac:dyDescent="0.2">
      <c r="A23" s="90"/>
      <c r="B23" s="70" t="s">
        <v>74</v>
      </c>
      <c r="C23" s="70" t="s">
        <v>16</v>
      </c>
      <c r="D23" s="70" t="s">
        <v>151</v>
      </c>
      <c r="E23" s="70" t="s">
        <v>172</v>
      </c>
      <c r="F23" s="90"/>
    </row>
    <row r="24" spans="1:6" x14ac:dyDescent="0.2">
      <c r="A24" s="90"/>
      <c r="B24" s="70" t="s">
        <v>75</v>
      </c>
      <c r="C24" s="70" t="s">
        <v>17</v>
      </c>
      <c r="D24" s="70" t="s">
        <v>152</v>
      </c>
      <c r="E24" s="70" t="s">
        <v>152</v>
      </c>
      <c r="F24" s="90"/>
    </row>
    <row r="25" spans="1:6" x14ac:dyDescent="0.2">
      <c r="A25" s="90"/>
      <c r="B25" s="70" t="s">
        <v>76</v>
      </c>
      <c r="C25" s="70" t="s">
        <v>13</v>
      </c>
      <c r="D25" s="70" t="s">
        <v>153</v>
      </c>
      <c r="E25" s="70" t="s">
        <v>173</v>
      </c>
      <c r="F25" s="90"/>
    </row>
    <row r="26" spans="1:6" x14ac:dyDescent="0.2">
      <c r="A26" s="90"/>
      <c r="B26" s="70" t="s">
        <v>77</v>
      </c>
      <c r="C26" s="70" t="s">
        <v>15</v>
      </c>
      <c r="D26" s="70" t="s">
        <v>154</v>
      </c>
      <c r="E26" s="70" t="s">
        <v>174</v>
      </c>
      <c r="F26" s="90"/>
    </row>
    <row r="27" spans="1:6" x14ac:dyDescent="0.2">
      <c r="A27" s="90"/>
      <c r="B27" s="70" t="s">
        <v>78</v>
      </c>
      <c r="C27" s="70" t="s">
        <v>19</v>
      </c>
      <c r="D27" s="70" t="s">
        <v>19</v>
      </c>
      <c r="E27" s="70" t="s">
        <v>175</v>
      </c>
      <c r="F27" s="90"/>
    </row>
    <row r="28" spans="1:6" x14ac:dyDescent="0.2">
      <c r="A28" s="90"/>
      <c r="B28" s="70" t="s">
        <v>79</v>
      </c>
      <c r="C28" s="70" t="s">
        <v>24</v>
      </c>
      <c r="D28" s="70" t="s">
        <v>155</v>
      </c>
      <c r="E28" s="70" t="s">
        <v>176</v>
      </c>
      <c r="F28" s="90"/>
    </row>
    <row r="29" spans="1:6" x14ac:dyDescent="0.2">
      <c r="A29" s="90"/>
      <c r="B29" s="70" t="s">
        <v>80</v>
      </c>
      <c r="C29" s="70" t="s">
        <v>47</v>
      </c>
      <c r="D29" s="70" t="s">
        <v>156</v>
      </c>
      <c r="E29" s="70" t="s">
        <v>177</v>
      </c>
      <c r="F29" s="90"/>
    </row>
    <row r="30" spans="1:6" x14ac:dyDescent="0.2">
      <c r="A30" s="90"/>
      <c r="B30" s="70" t="s">
        <v>81</v>
      </c>
      <c r="C30" s="70" t="s">
        <v>20</v>
      </c>
      <c r="D30" s="70" t="s">
        <v>157</v>
      </c>
      <c r="E30" s="70" t="s">
        <v>178</v>
      </c>
      <c r="F30" s="90"/>
    </row>
    <row r="31" spans="1:6" x14ac:dyDescent="0.2">
      <c r="A31" s="90"/>
      <c r="B31" s="70" t="s">
        <v>82</v>
      </c>
      <c r="C31" s="70" t="s">
        <v>46</v>
      </c>
      <c r="D31" s="70" t="s">
        <v>158</v>
      </c>
      <c r="E31" s="70" t="s">
        <v>179</v>
      </c>
      <c r="F31" s="90"/>
    </row>
    <row r="32" spans="1:6" x14ac:dyDescent="0.2">
      <c r="A32" s="90"/>
      <c r="B32" s="70" t="s">
        <v>83</v>
      </c>
      <c r="C32" s="70" t="s">
        <v>21</v>
      </c>
      <c r="D32" s="70" t="s">
        <v>159</v>
      </c>
      <c r="E32" s="70" t="s">
        <v>159</v>
      </c>
      <c r="F32" s="90"/>
    </row>
    <row r="33" spans="1:6" x14ac:dyDescent="0.2">
      <c r="A33" s="90"/>
      <c r="B33" s="70" t="s">
        <v>84</v>
      </c>
      <c r="C33" s="70" t="s">
        <v>40</v>
      </c>
      <c r="D33" s="70" t="s">
        <v>160</v>
      </c>
      <c r="E33" s="70" t="s">
        <v>160</v>
      </c>
      <c r="F33" s="90"/>
    </row>
    <row r="34" spans="1:6" x14ac:dyDescent="0.2">
      <c r="A34" s="90"/>
      <c r="B34" s="70" t="s">
        <v>85</v>
      </c>
      <c r="C34" s="70" t="s">
        <v>41</v>
      </c>
      <c r="D34" s="70" t="s">
        <v>161</v>
      </c>
      <c r="E34" s="70" t="s">
        <v>161</v>
      </c>
      <c r="F34" s="90"/>
    </row>
    <row r="35" spans="1:6" x14ac:dyDescent="0.2">
      <c r="A35" s="90"/>
      <c r="B35" s="70" t="s">
        <v>86</v>
      </c>
      <c r="C35" s="70" t="s">
        <v>42</v>
      </c>
      <c r="D35" s="70" t="s">
        <v>162</v>
      </c>
      <c r="E35" s="70" t="s">
        <v>180</v>
      </c>
      <c r="F35" s="90"/>
    </row>
    <row r="36" spans="1:6" x14ac:dyDescent="0.2">
      <c r="A36" s="90"/>
      <c r="B36" s="70" t="s">
        <v>87</v>
      </c>
      <c r="C36" s="70" t="s">
        <v>43</v>
      </c>
      <c r="D36" s="70" t="s">
        <v>163</v>
      </c>
      <c r="E36" s="70" t="s">
        <v>181</v>
      </c>
      <c r="F36" s="90"/>
    </row>
    <row r="37" spans="1:6" x14ac:dyDescent="0.2">
      <c r="A37" s="90"/>
      <c r="B37" s="70" t="s">
        <v>88</v>
      </c>
      <c r="C37" s="70" t="s">
        <v>18</v>
      </c>
      <c r="D37" s="70" t="s">
        <v>164</v>
      </c>
      <c r="E37" s="70" t="s">
        <v>182</v>
      </c>
      <c r="F37" s="90"/>
    </row>
    <row r="38" spans="1:6" x14ac:dyDescent="0.2">
      <c r="A38" s="90"/>
      <c r="B38" s="70" t="s">
        <v>89</v>
      </c>
      <c r="C38" s="70" t="s">
        <v>48</v>
      </c>
      <c r="D38" s="70" t="s">
        <v>165</v>
      </c>
      <c r="E38" s="70" t="s">
        <v>183</v>
      </c>
      <c r="F38" s="90"/>
    </row>
    <row r="39" spans="1:6" x14ac:dyDescent="0.2">
      <c r="A39" s="90"/>
      <c r="B39" s="70" t="s">
        <v>90</v>
      </c>
      <c r="C39" s="70" t="s">
        <v>22</v>
      </c>
      <c r="D39" s="70" t="s">
        <v>166</v>
      </c>
      <c r="E39" s="70" t="s">
        <v>166</v>
      </c>
      <c r="F39" s="90"/>
    </row>
    <row r="40" spans="1:6" x14ac:dyDescent="0.2">
      <c r="A40" s="90"/>
      <c r="B40" s="70" t="s">
        <v>91</v>
      </c>
      <c r="C40" s="70" t="s">
        <v>23</v>
      </c>
      <c r="D40" s="70" t="s">
        <v>167</v>
      </c>
      <c r="E40" s="70" t="s">
        <v>184</v>
      </c>
      <c r="F40" s="90"/>
    </row>
    <row r="41" spans="1:6" x14ac:dyDescent="0.2">
      <c r="A41" s="90"/>
      <c r="B41" s="70" t="s">
        <v>92</v>
      </c>
      <c r="C41" s="70" t="s">
        <v>45</v>
      </c>
      <c r="D41" s="70" t="s">
        <v>168</v>
      </c>
      <c r="E41" s="70" t="s">
        <v>185</v>
      </c>
      <c r="F41" s="90"/>
    </row>
    <row r="42" spans="1:6" x14ac:dyDescent="0.2">
      <c r="A42" s="90"/>
      <c r="B42" s="70" t="s">
        <v>93</v>
      </c>
      <c r="C42" s="70" t="s">
        <v>333</v>
      </c>
      <c r="D42" s="70" t="s">
        <v>169</v>
      </c>
      <c r="E42" s="70" t="s">
        <v>186</v>
      </c>
      <c r="F42" s="90"/>
    </row>
    <row r="43" spans="1:6" x14ac:dyDescent="0.2">
      <c r="A43" s="90"/>
      <c r="B43" s="70" t="s">
        <v>94</v>
      </c>
      <c r="C43" s="70" t="s">
        <v>8</v>
      </c>
      <c r="D43" s="70" t="s">
        <v>170</v>
      </c>
      <c r="E43" s="70" t="s">
        <v>187</v>
      </c>
      <c r="F43" s="90"/>
    </row>
    <row r="44" spans="1:6" x14ac:dyDescent="0.2">
      <c r="A44" s="90"/>
      <c r="B44" s="70" t="s">
        <v>95</v>
      </c>
      <c r="C44" s="116" t="s">
        <v>25</v>
      </c>
      <c r="D44" s="116" t="s">
        <v>188</v>
      </c>
      <c r="E44" s="116" t="s">
        <v>188</v>
      </c>
      <c r="F44" s="90"/>
    </row>
    <row r="45" spans="1:6" x14ac:dyDescent="0.2">
      <c r="A45" s="90"/>
      <c r="B45" s="70" t="s">
        <v>96</v>
      </c>
      <c r="C45" s="116" t="s">
        <v>408</v>
      </c>
      <c r="D45" s="116" t="s">
        <v>408</v>
      </c>
      <c r="E45" s="116" t="s">
        <v>408</v>
      </c>
      <c r="F45" s="90"/>
    </row>
    <row r="46" spans="1:6" x14ac:dyDescent="0.2">
      <c r="A46" s="90"/>
      <c r="B46" s="70" t="s">
        <v>97</v>
      </c>
      <c r="C46" s="116" t="s">
        <v>27</v>
      </c>
      <c r="D46" s="116" t="s">
        <v>27</v>
      </c>
      <c r="E46" s="116" t="s">
        <v>27</v>
      </c>
      <c r="F46" s="90"/>
    </row>
    <row r="47" spans="1:6" x14ac:dyDescent="0.2">
      <c r="A47" s="90"/>
      <c r="B47" s="70" t="s">
        <v>107</v>
      </c>
      <c r="C47" s="116" t="s">
        <v>10</v>
      </c>
      <c r="D47" s="116" t="s">
        <v>189</v>
      </c>
      <c r="E47" s="116" t="s">
        <v>189</v>
      </c>
      <c r="F47" s="90"/>
    </row>
    <row r="48" spans="1:6" x14ac:dyDescent="0.2">
      <c r="A48" s="90"/>
      <c r="B48" s="70" t="s">
        <v>108</v>
      </c>
      <c r="C48" s="116" t="s">
        <v>407</v>
      </c>
      <c r="D48" s="116" t="s">
        <v>407</v>
      </c>
      <c r="E48" s="116" t="s">
        <v>407</v>
      </c>
      <c r="F48" s="90"/>
    </row>
    <row r="49" spans="1:6" x14ac:dyDescent="0.2">
      <c r="A49" s="90"/>
      <c r="B49" s="70" t="s">
        <v>346</v>
      </c>
      <c r="C49" s="116"/>
      <c r="D49" s="116"/>
      <c r="E49" s="116"/>
      <c r="F49" s="90"/>
    </row>
    <row r="50" spans="1:6" x14ac:dyDescent="0.2">
      <c r="A50" s="90"/>
      <c r="B50" s="70" t="s">
        <v>109</v>
      </c>
      <c r="C50" s="116" t="s">
        <v>0</v>
      </c>
      <c r="D50" s="116" t="s">
        <v>0</v>
      </c>
      <c r="E50" s="116" t="s">
        <v>0</v>
      </c>
      <c r="F50" s="90"/>
    </row>
    <row r="51" spans="1:6" x14ac:dyDescent="0.2">
      <c r="A51" s="90"/>
      <c r="B51" s="70" t="s">
        <v>110</v>
      </c>
      <c r="C51" s="70" t="s">
        <v>6</v>
      </c>
      <c r="D51" s="70" t="s">
        <v>6</v>
      </c>
      <c r="E51" s="70" t="s">
        <v>6</v>
      </c>
      <c r="F51" s="90"/>
    </row>
    <row r="52" spans="1:6" x14ac:dyDescent="0.2">
      <c r="A52" s="90"/>
      <c r="B52" s="70" t="s">
        <v>111</v>
      </c>
      <c r="C52" s="70" t="s">
        <v>29</v>
      </c>
      <c r="D52" s="70" t="s">
        <v>29</v>
      </c>
      <c r="E52" s="70" t="s">
        <v>29</v>
      </c>
      <c r="F52" s="90"/>
    </row>
    <row r="53" spans="1:6" x14ac:dyDescent="0.2">
      <c r="A53" s="90"/>
      <c r="B53" s="70" t="s">
        <v>112</v>
      </c>
      <c r="C53" s="70" t="s">
        <v>28</v>
      </c>
      <c r="D53" s="70" t="s">
        <v>28</v>
      </c>
      <c r="E53" s="70" t="s">
        <v>28</v>
      </c>
      <c r="F53" s="90"/>
    </row>
    <row r="54" spans="1:6" x14ac:dyDescent="0.2">
      <c r="A54" s="90"/>
      <c r="B54" s="70" t="s">
        <v>113</v>
      </c>
      <c r="C54" s="70" t="s">
        <v>1</v>
      </c>
      <c r="D54" s="70" t="s">
        <v>1</v>
      </c>
      <c r="E54" s="70" t="s">
        <v>1</v>
      </c>
      <c r="F54" s="90"/>
    </row>
    <row r="55" spans="1:6" x14ac:dyDescent="0.2">
      <c r="A55" s="90"/>
      <c r="B55" s="70" t="s">
        <v>114</v>
      </c>
      <c r="C55" s="70" t="s">
        <v>2</v>
      </c>
      <c r="D55" s="70" t="s">
        <v>2</v>
      </c>
      <c r="E55" s="70" t="s">
        <v>2</v>
      </c>
      <c r="F55" s="90"/>
    </row>
    <row r="56" spans="1:6" x14ac:dyDescent="0.2">
      <c r="A56" s="90"/>
      <c r="B56" s="70" t="s">
        <v>115</v>
      </c>
      <c r="C56" s="70" t="s">
        <v>3</v>
      </c>
      <c r="D56" s="70" t="s">
        <v>3</v>
      </c>
      <c r="E56" s="70" t="s">
        <v>3</v>
      </c>
      <c r="F56" s="90"/>
    </row>
    <row r="57" spans="1:6" x14ac:dyDescent="0.2">
      <c r="A57" s="90"/>
      <c r="B57" s="70" t="s">
        <v>116</v>
      </c>
      <c r="C57" s="70" t="s">
        <v>9</v>
      </c>
      <c r="D57" s="70" t="s">
        <v>9</v>
      </c>
      <c r="E57" s="70" t="s">
        <v>9</v>
      </c>
      <c r="F57" s="90"/>
    </row>
    <row r="58" spans="1:6" x14ac:dyDescent="0.2">
      <c r="A58" s="90"/>
      <c r="B58" s="70" t="s">
        <v>117</v>
      </c>
      <c r="C58" s="70" t="s">
        <v>53</v>
      </c>
      <c r="D58" s="70" t="s">
        <v>190</v>
      </c>
      <c r="E58" s="70" t="s">
        <v>190</v>
      </c>
      <c r="F58" s="90"/>
    </row>
    <row r="59" spans="1:6" x14ac:dyDescent="0.2">
      <c r="A59" s="90"/>
      <c r="B59" s="70" t="s">
        <v>118</v>
      </c>
      <c r="C59" s="70" t="s">
        <v>26</v>
      </c>
      <c r="D59" s="70" t="s">
        <v>26</v>
      </c>
      <c r="E59" s="70" t="s">
        <v>26</v>
      </c>
      <c r="F59" s="90"/>
    </row>
    <row r="60" spans="1:6" x14ac:dyDescent="0.2">
      <c r="A60" s="90"/>
      <c r="B60" s="70" t="s">
        <v>119</v>
      </c>
      <c r="C60" s="70" t="s">
        <v>4</v>
      </c>
      <c r="D60" s="70" t="s">
        <v>4</v>
      </c>
      <c r="E60" s="70" t="s">
        <v>4</v>
      </c>
      <c r="F60" s="90"/>
    </row>
    <row r="61" spans="1:6" x14ac:dyDescent="0.2">
      <c r="A61" s="90"/>
      <c r="B61" s="70" t="s">
        <v>120</v>
      </c>
      <c r="C61" s="70" t="s">
        <v>7</v>
      </c>
      <c r="D61" s="70" t="s">
        <v>7</v>
      </c>
      <c r="E61" s="70" t="s">
        <v>7</v>
      </c>
      <c r="F61" s="90"/>
    </row>
    <row r="62" spans="1:6" x14ac:dyDescent="0.2">
      <c r="A62" s="90"/>
      <c r="B62" s="70" t="s">
        <v>121</v>
      </c>
      <c r="C62" s="70" t="s">
        <v>5</v>
      </c>
      <c r="D62" s="70" t="s">
        <v>5</v>
      </c>
      <c r="E62" s="70" t="s">
        <v>5</v>
      </c>
      <c r="F62" s="90"/>
    </row>
    <row r="63" spans="1:6" x14ac:dyDescent="0.2">
      <c r="A63" s="90"/>
      <c r="B63" s="70" t="s">
        <v>122</v>
      </c>
      <c r="C63" s="70" t="s">
        <v>8</v>
      </c>
      <c r="D63" s="70" t="s">
        <v>170</v>
      </c>
      <c r="E63" s="70" t="s">
        <v>187</v>
      </c>
      <c r="F63" s="90"/>
    </row>
    <row r="64" spans="1:6" x14ac:dyDescent="0.2">
      <c r="A64" s="90"/>
      <c r="B64" s="70" t="s">
        <v>123</v>
      </c>
      <c r="C64" s="70" t="s">
        <v>54</v>
      </c>
      <c r="D64" s="70" t="s">
        <v>191</v>
      </c>
      <c r="E64" s="70" t="s">
        <v>192</v>
      </c>
      <c r="F64" s="90"/>
    </row>
    <row r="65" spans="1:6" x14ac:dyDescent="0.2">
      <c r="A65" s="90"/>
      <c r="B65" s="70" t="s">
        <v>124</v>
      </c>
      <c r="C65" s="70" t="s">
        <v>36</v>
      </c>
      <c r="D65" s="70" t="s">
        <v>193</v>
      </c>
      <c r="E65" s="70" t="s">
        <v>194</v>
      </c>
      <c r="F65" s="90"/>
    </row>
    <row r="66" spans="1:6" x14ac:dyDescent="0.2">
      <c r="A66" s="90"/>
      <c r="B66" s="70" t="s">
        <v>125</v>
      </c>
      <c r="C66" s="70" t="s">
        <v>37</v>
      </c>
      <c r="D66" s="70" t="s">
        <v>195</v>
      </c>
      <c r="E66" s="70" t="s">
        <v>196</v>
      </c>
      <c r="F66" s="90"/>
    </row>
    <row r="67" spans="1:6" x14ac:dyDescent="0.2">
      <c r="A67" s="90"/>
      <c r="B67" s="70" t="s">
        <v>126</v>
      </c>
      <c r="C67" s="70" t="s">
        <v>39</v>
      </c>
      <c r="D67" s="70" t="s">
        <v>197</v>
      </c>
      <c r="E67" s="70" t="s">
        <v>198</v>
      </c>
      <c r="F67" s="90"/>
    </row>
    <row r="68" spans="1:6" x14ac:dyDescent="0.2">
      <c r="A68" s="90"/>
      <c r="B68" s="70" t="s">
        <v>127</v>
      </c>
      <c r="C68" s="70" t="s">
        <v>31</v>
      </c>
      <c r="D68" s="70" t="s">
        <v>199</v>
      </c>
      <c r="E68" s="70" t="s">
        <v>200</v>
      </c>
      <c r="F68" s="90"/>
    </row>
    <row r="69" spans="1:6" x14ac:dyDescent="0.2">
      <c r="A69" s="90"/>
      <c r="B69" s="70" t="s">
        <v>128</v>
      </c>
      <c r="C69" s="70" t="s">
        <v>8</v>
      </c>
      <c r="D69" s="70" t="s">
        <v>170</v>
      </c>
      <c r="E69" s="70" t="s">
        <v>187</v>
      </c>
      <c r="F69" s="90"/>
    </row>
    <row r="70" spans="1:6" x14ac:dyDescent="0.2">
      <c r="A70" s="90"/>
      <c r="B70" s="70" t="s">
        <v>129</v>
      </c>
      <c r="C70" s="70" t="s">
        <v>38</v>
      </c>
      <c r="D70" s="70" t="s">
        <v>201</v>
      </c>
      <c r="E70" s="70" t="s">
        <v>202</v>
      </c>
      <c r="F70" s="90"/>
    </row>
    <row r="71" spans="1:6" x14ac:dyDescent="0.2">
      <c r="A71" s="90"/>
      <c r="B71" s="70" t="s">
        <v>130</v>
      </c>
      <c r="C71" s="70" t="s">
        <v>35</v>
      </c>
      <c r="D71" s="70" t="s">
        <v>203</v>
      </c>
      <c r="E71" s="70" t="s">
        <v>204</v>
      </c>
      <c r="F71" s="90"/>
    </row>
    <row r="72" spans="1:6" x14ac:dyDescent="0.2">
      <c r="A72" s="90"/>
      <c r="B72" s="70" t="s">
        <v>131</v>
      </c>
      <c r="C72" s="70" t="s">
        <v>30</v>
      </c>
      <c r="D72" s="70" t="s">
        <v>205</v>
      </c>
      <c r="E72" s="70" t="s">
        <v>206</v>
      </c>
      <c r="F72" s="90"/>
    </row>
    <row r="73" spans="1:6" x14ac:dyDescent="0.2">
      <c r="A73" s="90"/>
      <c r="B73" s="70" t="s">
        <v>132</v>
      </c>
      <c r="C73" s="70" t="s">
        <v>33</v>
      </c>
      <c r="D73" s="70" t="s">
        <v>33</v>
      </c>
      <c r="E73" s="70" t="s">
        <v>207</v>
      </c>
      <c r="F73" s="90"/>
    </row>
    <row r="74" spans="1:6" x14ac:dyDescent="0.2">
      <c r="A74" s="90"/>
      <c r="B74" s="70" t="s">
        <v>133</v>
      </c>
      <c r="C74" s="70" t="s">
        <v>49</v>
      </c>
      <c r="D74" s="70" t="s">
        <v>210</v>
      </c>
      <c r="E74" s="70" t="s">
        <v>211</v>
      </c>
      <c r="F74" s="90"/>
    </row>
    <row r="75" spans="1:6" x14ac:dyDescent="0.2">
      <c r="A75" s="90"/>
      <c r="B75" s="70" t="s">
        <v>134</v>
      </c>
      <c r="C75" s="70" t="s">
        <v>32</v>
      </c>
      <c r="D75" s="70" t="s">
        <v>208</v>
      </c>
      <c r="E75" s="70" t="s">
        <v>209</v>
      </c>
      <c r="F75" s="90"/>
    </row>
    <row r="76" spans="1:6" x14ac:dyDescent="0.2">
      <c r="A76" s="90"/>
      <c r="B76" s="70" t="s">
        <v>135</v>
      </c>
      <c r="C76" s="70" t="s">
        <v>34</v>
      </c>
      <c r="D76" s="70" t="s">
        <v>212</v>
      </c>
      <c r="E76" s="70" t="s">
        <v>213</v>
      </c>
      <c r="F76" s="90"/>
    </row>
    <row r="77" spans="1:6" x14ac:dyDescent="0.2">
      <c r="A77" s="90"/>
      <c r="B77" s="70" t="s">
        <v>136</v>
      </c>
      <c r="C77" s="70" t="s">
        <v>11</v>
      </c>
      <c r="D77" s="70" t="s">
        <v>148</v>
      </c>
      <c r="E77" s="70" t="s">
        <v>171</v>
      </c>
      <c r="F77" s="90"/>
    </row>
    <row r="78" spans="1:6" x14ac:dyDescent="0.2">
      <c r="A78" s="90"/>
      <c r="B78" s="90"/>
      <c r="C78" s="90"/>
      <c r="D78" s="90"/>
      <c r="E78" s="90"/>
      <c r="F78" s="90"/>
    </row>
    <row r="79" spans="1:6" ht="25.5" x14ac:dyDescent="0.2">
      <c r="A79" s="89"/>
      <c r="B79" s="70" t="s">
        <v>98</v>
      </c>
      <c r="C79" s="70" t="s">
        <v>44</v>
      </c>
      <c r="D79" s="70" t="s">
        <v>144</v>
      </c>
      <c r="E79" s="93" t="s">
        <v>147</v>
      </c>
      <c r="F79" s="90"/>
    </row>
    <row r="80" spans="1:6" ht="25.5" x14ac:dyDescent="0.2">
      <c r="A80" s="90"/>
      <c r="B80" s="70" t="s">
        <v>99</v>
      </c>
      <c r="C80" s="70" t="s">
        <v>51</v>
      </c>
      <c r="D80" s="70" t="s">
        <v>145</v>
      </c>
      <c r="E80" s="93" t="s">
        <v>146</v>
      </c>
      <c r="F80" s="90"/>
    </row>
    <row r="81" spans="1:6" ht="25.5" x14ac:dyDescent="0.2">
      <c r="A81" s="90"/>
      <c r="B81" s="88" t="s">
        <v>100</v>
      </c>
      <c r="C81" s="88" t="s">
        <v>334</v>
      </c>
      <c r="D81" s="88" t="s">
        <v>335</v>
      </c>
      <c r="E81" s="88" t="s">
        <v>336</v>
      </c>
      <c r="F81" s="90"/>
    </row>
    <row r="82" spans="1:6" x14ac:dyDescent="0.2">
      <c r="A82" s="90"/>
      <c r="B82" s="90"/>
      <c r="C82" s="90"/>
      <c r="D82" s="90"/>
      <c r="E82" s="90"/>
      <c r="F82" s="90"/>
    </row>
    <row r="83" spans="1:6" x14ac:dyDescent="0.2">
      <c r="A83" s="90" t="s">
        <v>67</v>
      </c>
      <c r="B83" s="70" t="s">
        <v>101</v>
      </c>
      <c r="C83" s="70" t="s">
        <v>103</v>
      </c>
      <c r="D83" s="70" t="s">
        <v>215</v>
      </c>
      <c r="E83" s="70" t="s">
        <v>216</v>
      </c>
      <c r="F83" s="90"/>
    </row>
    <row r="84" spans="1:6" x14ac:dyDescent="0.2">
      <c r="A84" s="90" t="s">
        <v>66</v>
      </c>
      <c r="B84" s="88" t="s">
        <v>102</v>
      </c>
      <c r="C84" s="94" t="s">
        <v>337</v>
      </c>
      <c r="D84" s="94" t="s">
        <v>338</v>
      </c>
      <c r="E84" s="94" t="s">
        <v>339</v>
      </c>
      <c r="F84" s="90"/>
    </row>
    <row r="85" spans="1:6" s="109" customFormat="1" ht="13.5" thickBot="1" x14ac:dyDescent="0.25">
      <c r="A85" s="108"/>
      <c r="B85" s="108"/>
      <c r="C85" s="108"/>
      <c r="D85" s="108"/>
      <c r="E85" s="108"/>
      <c r="F85" s="108"/>
    </row>
    <row r="86" spans="1:6" x14ac:dyDescent="0.2">
      <c r="A86" s="89"/>
      <c r="B86" s="92"/>
      <c r="C86" s="92"/>
      <c r="D86" s="90"/>
      <c r="E86" s="90"/>
      <c r="F86" s="90"/>
    </row>
    <row r="87" spans="1:6" ht="25.5" x14ac:dyDescent="0.2">
      <c r="A87" s="89" t="s">
        <v>217</v>
      </c>
      <c r="B87" s="116" t="s">
        <v>218</v>
      </c>
      <c r="C87" s="116" t="str">
        <f>"Hotel- und Kurbetriebe: Logiernächte im Februar "&amp;$C$3&amp;", nach Herkunft"</f>
        <v>Hotel- und Kurbetriebe: Logiernächte im Februar 2024, nach Herkunft</v>
      </c>
      <c r="D87" s="116" t="str">
        <f>"Manaschis d' hotel e da cura: pernottaziuns il fevrer "&amp;$C$3&amp;", tenor la derivanza"</f>
        <v>Manaschis d' hotel e da cura: pernottaziuns il fevrer 2024, tenor la derivanza</v>
      </c>
      <c r="E87" s="116" t="str">
        <f>"Alberghi e stabilimenti di cura: pernottamenti nel mese di febbraio "&amp;$C$3&amp;", per provenienza"</f>
        <v>Alberghi e stabilimenti di cura: pernottamenti nel mese di febbraio 2024, per provenienza</v>
      </c>
      <c r="F87" s="90"/>
    </row>
    <row r="88" spans="1:6" ht="25.5" x14ac:dyDescent="0.2">
      <c r="A88" s="89"/>
      <c r="B88" s="116" t="s">
        <v>227</v>
      </c>
      <c r="C88" s="116" t="str">
        <f>"Hotel- und Kurbetriebe: Logiernächte im Februar "&amp;$C$3&amp;", nach Destinationen"</f>
        <v>Hotel- und Kurbetriebe: Logiernächte im Februar 2024, nach Destinationen</v>
      </c>
      <c r="D88" s="116" t="str">
        <f>"Manaschis d' hotel e da cura: pernottaziuns il fevrer "&amp;$C$3&amp;", tenor destinaziuns"</f>
        <v>Manaschis d' hotel e da cura: pernottaziuns il fevrer 2024, tenor destinaziuns</v>
      </c>
      <c r="E88" s="116" t="str">
        <f>"Alberghi e stabilimenti di cura: pernottamenti nel mese di febbraio "&amp;$C$3&amp;", per destinazione"</f>
        <v>Alberghi e stabilimenti di cura: pernottamenti nel mese di febbraio 2024, per destinazione</v>
      </c>
      <c r="F88" s="90"/>
    </row>
    <row r="89" spans="1:6" ht="38.25" x14ac:dyDescent="0.2">
      <c r="A89" s="89"/>
      <c r="B89" s="116" t="s">
        <v>228</v>
      </c>
      <c r="C89" s="116" t="str">
        <f>"Hotel- und Kurbetriebe: Logiernächte im Februar "&amp;$C$3&amp;", nach Schweizer Tourismusregionen"</f>
        <v>Hotel- und Kurbetriebe: Logiernächte im Februar 2024, nach Schweizer Tourismusregionen</v>
      </c>
      <c r="D89" s="116" t="str">
        <f>"Manaschis d' hotel e da cura: pernottaziuns il fevrer "&amp;$C$3&amp;", tenor regiuns turisticas svizras"</f>
        <v>Manaschis d' hotel e da cura: pernottaziuns il fevrer 2024, tenor regiuns turisticas svizras</v>
      </c>
      <c r="E89" s="116" t="str">
        <f>"Alberghi e stabilimenti di cura: pernottamenti nel mese di febbraio "&amp;$C$3&amp;", per regioni turistiche svizzere"</f>
        <v>Alberghi e stabilimenti di cura: pernottamenti nel mese di febbraio 2024, per regioni turistiche svizzere</v>
      </c>
      <c r="F89" s="90"/>
    </row>
    <row r="90" spans="1:6" x14ac:dyDescent="0.2">
      <c r="A90" s="89"/>
      <c r="B90" s="89"/>
      <c r="C90" s="89"/>
      <c r="D90" s="89"/>
      <c r="E90" s="89"/>
      <c r="F90" s="90"/>
    </row>
    <row r="91" spans="1:6" x14ac:dyDescent="0.2">
      <c r="A91" s="89"/>
      <c r="B91" s="116" t="s">
        <v>229</v>
      </c>
      <c r="C91" s="116" t="str">
        <f>"Februar "&amp;$C$3</f>
        <v>Februar 2024</v>
      </c>
      <c r="D91" s="116" t="str">
        <f>"Fevrer "&amp;$C$3</f>
        <v>Fevrer 2024</v>
      </c>
      <c r="E91" s="116" t="str">
        <f>"Febbraio "&amp;$C$3</f>
        <v>Febbraio 2024</v>
      </c>
      <c r="F91" s="90"/>
    </row>
    <row r="92" spans="1:6" x14ac:dyDescent="0.2">
      <c r="A92" s="89"/>
      <c r="B92" s="116" t="s">
        <v>230</v>
      </c>
      <c r="C92" s="116" t="str">
        <f>"Februar "&amp;$C$3-1</f>
        <v>Februar 2023</v>
      </c>
      <c r="D92" s="116" t="str">
        <f>"Fevrer "&amp;$C$3-1</f>
        <v>Fevrer 2023</v>
      </c>
      <c r="E92" s="116" t="str">
        <f>"Febbraio "&amp;$C$3-1</f>
        <v>Febbraio 2023</v>
      </c>
      <c r="F92" s="90"/>
    </row>
    <row r="93" spans="1:6" x14ac:dyDescent="0.2">
      <c r="A93" s="89"/>
      <c r="B93" s="116" t="s">
        <v>231</v>
      </c>
      <c r="C93" s="116" t="str">
        <f>"Januar-Februar "&amp;$D$3</f>
        <v>Januar-Februar 24</v>
      </c>
      <c r="D93" s="116" t="str">
        <f>"Schaner-fevrer "&amp;$D$3</f>
        <v>Schaner-fevrer 24</v>
      </c>
      <c r="E93" s="116" t="str">
        <f>"Gennaio-febbraio "&amp;$D$3</f>
        <v>Gennaio-febbraio 24</v>
      </c>
      <c r="F93" s="90"/>
    </row>
    <row r="94" spans="1:6" x14ac:dyDescent="0.2">
      <c r="A94" s="89"/>
      <c r="B94" s="116" t="s">
        <v>232</v>
      </c>
      <c r="C94" s="116" t="str">
        <f>"Januar-Februar "&amp;$D$3-1</f>
        <v>Januar-Februar 23</v>
      </c>
      <c r="D94" s="116" t="str">
        <f>"Schaner-fevrer "&amp;$D$3-1</f>
        <v>Schaner-fevrer 23</v>
      </c>
      <c r="E94" s="116" t="str">
        <f>"Gennaio-febbraio "&amp;$D$3-1</f>
        <v>Gennaio-febbraio 23</v>
      </c>
      <c r="F94" s="90"/>
    </row>
    <row r="95" spans="1:6" x14ac:dyDescent="0.2">
      <c r="A95" s="89"/>
      <c r="B95" s="90"/>
      <c r="C95" s="90"/>
      <c r="D95" s="90"/>
      <c r="E95" s="90"/>
      <c r="F95" s="90"/>
    </row>
    <row r="96" spans="1:6" ht="25.5" x14ac:dyDescent="0.2">
      <c r="A96" s="90"/>
      <c r="B96" s="88" t="s">
        <v>233</v>
      </c>
      <c r="C96" s="88" t="s">
        <v>340</v>
      </c>
      <c r="D96" s="88" t="s">
        <v>341</v>
      </c>
      <c r="E96" s="88" t="s">
        <v>342</v>
      </c>
      <c r="F96" s="90"/>
    </row>
    <row r="97" spans="1:6" x14ac:dyDescent="0.2">
      <c r="A97" s="90"/>
      <c r="B97" s="90"/>
      <c r="C97" s="90"/>
      <c r="D97" s="90"/>
      <c r="E97" s="90"/>
      <c r="F97" s="90"/>
    </row>
    <row r="98" spans="1:6" x14ac:dyDescent="0.2">
      <c r="A98" s="90"/>
      <c r="B98" s="88" t="s">
        <v>234</v>
      </c>
      <c r="C98" s="94" t="s">
        <v>343</v>
      </c>
      <c r="D98" s="94" t="s">
        <v>344</v>
      </c>
      <c r="E98" s="94" t="s">
        <v>345</v>
      </c>
      <c r="F98" s="90"/>
    </row>
    <row r="99" spans="1:6" s="109" customFormat="1" ht="13.5" thickBot="1" x14ac:dyDescent="0.25">
      <c r="A99" s="108"/>
      <c r="B99" s="108"/>
      <c r="C99" s="108"/>
      <c r="D99" s="108"/>
      <c r="E99" s="108"/>
      <c r="F99" s="108"/>
    </row>
    <row r="100" spans="1:6" x14ac:dyDescent="0.2">
      <c r="A100" s="89"/>
      <c r="B100" s="92"/>
      <c r="C100" s="92"/>
      <c r="D100" s="90"/>
      <c r="E100" s="90"/>
      <c r="F100" s="90"/>
    </row>
    <row r="101" spans="1:6" ht="25.5" x14ac:dyDescent="0.2">
      <c r="A101" s="89" t="s">
        <v>236</v>
      </c>
      <c r="B101" s="116" t="s">
        <v>235</v>
      </c>
      <c r="C101" s="116" t="str">
        <f>"Hotel- und Kurbetriebe: Logiernächte im März "&amp;$C$3&amp;", nach Herkunft"</f>
        <v>Hotel- und Kurbetriebe: Logiernächte im März 2024, nach Herkunft</v>
      </c>
      <c r="D101" s="116" t="str">
        <f>"Manaschis d' hotel e da cura: pernottaziuns il mars "&amp;$C$3&amp;", tenor la derivanza"</f>
        <v>Manaschis d' hotel e da cura: pernottaziuns il mars 2024, tenor la derivanza</v>
      </c>
      <c r="E101" s="116" t="str">
        <f>"Alberghi e stabilimenti di cura: pernottamenti nel mese di marzo "&amp;$C$3&amp;", per provenienza"</f>
        <v>Alberghi e stabilimenti di cura: pernottamenti nel mese di marzo 2024, per provenienza</v>
      </c>
      <c r="F101" s="90"/>
    </row>
    <row r="102" spans="1:6" ht="25.5" x14ac:dyDescent="0.2">
      <c r="A102" s="89"/>
      <c r="B102" s="116" t="s">
        <v>219</v>
      </c>
      <c r="C102" s="116" t="str">
        <f>"Hotel- und Kurbetriebe: Logiernächte im März "&amp;$C$3&amp;", nach Destinationen"</f>
        <v>Hotel- und Kurbetriebe: Logiernächte im März 2024, nach Destinationen</v>
      </c>
      <c r="D102" s="116" t="str">
        <f>"Manaschis d' hotel e da cura: pernottaziuns il mars "&amp;$C$3&amp;", tenor destinaziuns"</f>
        <v>Manaschis d' hotel e da cura: pernottaziuns il mars 2024, tenor destinaziuns</v>
      </c>
      <c r="E102" s="116" t="str">
        <f>"Alberghi e stabilimenti di cura: pernottamenti nel mese di marzo "&amp;$C$3&amp;", per destinazione"</f>
        <v>Alberghi e stabilimenti di cura: pernottamenti nel mese di marzo 2024, per destinazione</v>
      </c>
      <c r="F102" s="90"/>
    </row>
    <row r="103" spans="1:6" ht="38.25" x14ac:dyDescent="0.2">
      <c r="A103" s="89"/>
      <c r="B103" s="116" t="s">
        <v>220</v>
      </c>
      <c r="C103" s="116" t="str">
        <f>"Hotel- und Kurbetriebe: Logiernächte im März "&amp;$C$3&amp;", nach Schweizer Tourismusregionen"</f>
        <v>Hotel- und Kurbetriebe: Logiernächte im März 2024, nach Schweizer Tourismusregionen</v>
      </c>
      <c r="D103" s="116" t="str">
        <f>"Manaschis d' hotel e da cura: pernottaziuns il mars "&amp;$C$3&amp;", tenor regiuns turisticas svizras"</f>
        <v>Manaschis d' hotel e da cura: pernottaziuns il mars 2024, tenor regiuns turisticas svizras</v>
      </c>
      <c r="E103" s="116" t="str">
        <f>"Alberghi e stabilimenti di cura: pernottamenti nel mese di marzo "&amp;$C$3&amp;", per regioni turistiche svizzere"</f>
        <v>Alberghi e stabilimenti di cura: pernottamenti nel mese di marzo 2024, per regioni turistiche svizzere</v>
      </c>
      <c r="F103" s="90"/>
    </row>
    <row r="104" spans="1:6" x14ac:dyDescent="0.2">
      <c r="A104" s="89"/>
      <c r="B104" s="89"/>
      <c r="C104" s="89"/>
      <c r="D104" s="89"/>
      <c r="E104" s="89"/>
      <c r="F104" s="90"/>
    </row>
    <row r="105" spans="1:6" x14ac:dyDescent="0.2">
      <c r="A105" s="89"/>
      <c r="B105" s="116" t="s">
        <v>221</v>
      </c>
      <c r="C105" s="116" t="str">
        <f>"März "&amp;$C$3</f>
        <v>März 2024</v>
      </c>
      <c r="D105" s="116" t="str">
        <f>"Mars "&amp;$C$3</f>
        <v>Mars 2024</v>
      </c>
      <c r="E105" s="116" t="str">
        <f>"Marzo "&amp;$C$3</f>
        <v>Marzo 2024</v>
      </c>
      <c r="F105" s="90"/>
    </row>
    <row r="106" spans="1:6" x14ac:dyDescent="0.2">
      <c r="A106" s="89"/>
      <c r="B106" s="116" t="s">
        <v>222</v>
      </c>
      <c r="C106" s="116" t="str">
        <f>"März "&amp;$C$3-1</f>
        <v>März 2023</v>
      </c>
      <c r="D106" s="116" t="str">
        <f>"Mars "&amp;$C$3-1</f>
        <v>Mars 2023</v>
      </c>
      <c r="E106" s="116" t="str">
        <f>"Marzo "&amp;$C$3-1</f>
        <v>Marzo 2023</v>
      </c>
      <c r="F106" s="90"/>
    </row>
    <row r="107" spans="1:6" x14ac:dyDescent="0.2">
      <c r="A107" s="89"/>
      <c r="B107" s="116" t="s">
        <v>223</v>
      </c>
      <c r="C107" s="116" t="str">
        <f>"Januar-März "&amp;$D$3</f>
        <v>Januar-März 24</v>
      </c>
      <c r="D107" s="116" t="str">
        <f>"Schaner-mars "&amp;$D$3</f>
        <v>Schaner-mars 24</v>
      </c>
      <c r="E107" s="116" t="str">
        <f>"Gennaio-marzo "&amp;$D$3</f>
        <v>Gennaio-marzo 24</v>
      </c>
      <c r="F107" s="90"/>
    </row>
    <row r="108" spans="1:6" x14ac:dyDescent="0.2">
      <c r="A108" s="89"/>
      <c r="B108" s="116" t="s">
        <v>224</v>
      </c>
      <c r="C108" s="116" t="str">
        <f>"Januar-März "&amp;$D$3-1</f>
        <v>Januar-März 23</v>
      </c>
      <c r="D108" s="116" t="str">
        <f>"Schaner-mars "&amp;$D$3-1</f>
        <v>Schaner-mars 23</v>
      </c>
      <c r="E108" s="116" t="str">
        <f>"Gennaio-marzo "&amp;$D$3-1</f>
        <v>Gennaio-marzo 23</v>
      </c>
      <c r="F108" s="90"/>
    </row>
    <row r="109" spans="1:6" x14ac:dyDescent="0.2">
      <c r="A109" s="89"/>
      <c r="B109" s="90"/>
      <c r="C109" s="90"/>
      <c r="D109" s="90"/>
      <c r="E109" s="90"/>
      <c r="F109" s="90"/>
    </row>
    <row r="110" spans="1:6" ht="25.5" x14ac:dyDescent="0.2">
      <c r="A110" s="90"/>
      <c r="B110" s="88" t="s">
        <v>225</v>
      </c>
      <c r="C110" s="88" t="s">
        <v>368</v>
      </c>
      <c r="D110" s="88" t="s">
        <v>369</v>
      </c>
      <c r="E110" s="88" t="s">
        <v>370</v>
      </c>
      <c r="F110" s="90"/>
    </row>
    <row r="111" spans="1:6" x14ac:dyDescent="0.2">
      <c r="A111" s="90"/>
      <c r="B111" s="90"/>
      <c r="C111" s="90"/>
      <c r="D111" s="90"/>
      <c r="E111" s="90"/>
      <c r="F111" s="90"/>
    </row>
    <row r="112" spans="1:6" x14ac:dyDescent="0.2">
      <c r="A112" s="90"/>
      <c r="B112" s="88" t="s">
        <v>226</v>
      </c>
      <c r="C112" s="94" t="s">
        <v>350</v>
      </c>
      <c r="D112" s="94" t="s">
        <v>351</v>
      </c>
      <c r="E112" s="94" t="s">
        <v>352</v>
      </c>
      <c r="F112" s="90"/>
    </row>
    <row r="113" spans="1:6" s="109" customFormat="1" ht="13.5" thickBot="1" x14ac:dyDescent="0.25">
      <c r="A113" s="108"/>
      <c r="B113" s="108"/>
      <c r="C113" s="108"/>
      <c r="D113" s="108"/>
      <c r="E113" s="108"/>
      <c r="F113" s="108"/>
    </row>
    <row r="114" spans="1:6" x14ac:dyDescent="0.2">
      <c r="A114" s="89"/>
      <c r="B114" s="92"/>
      <c r="C114" s="92"/>
      <c r="D114" s="90"/>
      <c r="E114" s="90"/>
      <c r="F114" s="90"/>
    </row>
    <row r="115" spans="1:6" ht="25.5" x14ac:dyDescent="0.2">
      <c r="A115" s="89" t="s">
        <v>237</v>
      </c>
      <c r="B115" s="116" t="s">
        <v>238</v>
      </c>
      <c r="C115" s="116" t="str">
        <f>"Hotel- und Kurbetriebe: Logiernächte im April "&amp;$C$3&amp;", nach Herkunft"</f>
        <v>Hotel- und Kurbetriebe: Logiernächte im April 2024, nach Herkunft</v>
      </c>
      <c r="D115" s="116" t="str">
        <f>"Manaschis d' hotel e da cura: pernottaziuns il avrigl "&amp;$C$3&amp;", tenor la derivanza"</f>
        <v>Manaschis d' hotel e da cura: pernottaziuns il avrigl 2024, tenor la derivanza</v>
      </c>
      <c r="E115" s="116" t="str">
        <f>"Alberghi e stabilimenti di cura: pernottamenti nel mese di aprile "&amp;$C$3&amp;", per provenienza"</f>
        <v>Alberghi e stabilimenti di cura: pernottamenti nel mese di aprile 2024, per provenienza</v>
      </c>
      <c r="F115" s="90"/>
    </row>
    <row r="116" spans="1:6" ht="25.5" x14ac:dyDescent="0.2">
      <c r="A116" s="89"/>
      <c r="B116" s="116" t="s">
        <v>239</v>
      </c>
      <c r="C116" s="116" t="str">
        <f>"Hotel- und Kurbetriebe: Logiernächte im April "&amp;$C$3&amp;", nach Destinationen"</f>
        <v>Hotel- und Kurbetriebe: Logiernächte im April 2024, nach Destinationen</v>
      </c>
      <c r="D116" s="116" t="str">
        <f>"Manaschis d' hotel e da cura: pernottaziuns il avrigl "&amp;$C$3&amp;", tenor destinaziuns"</f>
        <v>Manaschis d' hotel e da cura: pernottaziuns il avrigl 2024, tenor destinaziuns</v>
      </c>
      <c r="E116" s="116" t="str">
        <f>"Alberghi e stabilimenti di cura: pernottamenti nel mese di aprile "&amp;$C$3&amp;", per destinazione"</f>
        <v>Alberghi e stabilimenti di cura: pernottamenti nel mese di aprile 2024, per destinazione</v>
      </c>
      <c r="F116" s="90"/>
    </row>
    <row r="117" spans="1:6" ht="38.25" x14ac:dyDescent="0.2">
      <c r="A117" s="89"/>
      <c r="B117" s="116" t="s">
        <v>240</v>
      </c>
      <c r="C117" s="116" t="str">
        <f>"Hotel- und Kurbetriebe: Logiernächte im April "&amp;$C$3&amp;", nach Schweizer Tourismusregionen"</f>
        <v>Hotel- und Kurbetriebe: Logiernächte im April 2024, nach Schweizer Tourismusregionen</v>
      </c>
      <c r="D117" s="116" t="str">
        <f>"Manaschis d' hotel e da cura: pernottaziuns il avrigl "&amp;$C$3&amp;", tenor regiuns turisticas svizras"</f>
        <v>Manaschis d' hotel e da cura: pernottaziuns il avrigl 2024, tenor regiuns turisticas svizras</v>
      </c>
      <c r="E117" s="116" t="str">
        <f>"Alberghi e stabilimenti di cura: pernottamenti nel mese di aprile "&amp;$C$3&amp;", per regioni turistiche svizzere"</f>
        <v>Alberghi e stabilimenti di cura: pernottamenti nel mese di aprile 2024, per regioni turistiche svizzere</v>
      </c>
      <c r="F117" s="90"/>
    </row>
    <row r="118" spans="1:6" x14ac:dyDescent="0.2">
      <c r="A118" s="89"/>
      <c r="B118" s="89"/>
      <c r="C118" s="89"/>
      <c r="D118" s="89"/>
      <c r="E118" s="89"/>
      <c r="F118" s="90"/>
    </row>
    <row r="119" spans="1:6" x14ac:dyDescent="0.2">
      <c r="A119" s="89"/>
      <c r="B119" s="116" t="s">
        <v>241</v>
      </c>
      <c r="C119" s="116" t="str">
        <f>"April "&amp;$C$3</f>
        <v>April 2024</v>
      </c>
      <c r="D119" s="116" t="str">
        <f>"Avrigl "&amp;$C$3</f>
        <v>Avrigl 2024</v>
      </c>
      <c r="E119" s="116" t="str">
        <f>"Aprile "&amp;$C$3</f>
        <v>Aprile 2024</v>
      </c>
      <c r="F119" s="90"/>
    </row>
    <row r="120" spans="1:6" x14ac:dyDescent="0.2">
      <c r="A120" s="89"/>
      <c r="B120" s="116" t="s">
        <v>242</v>
      </c>
      <c r="C120" s="116" t="str">
        <f>"April "&amp;$C$3-1</f>
        <v>April 2023</v>
      </c>
      <c r="D120" s="116" t="str">
        <f>"Avrigl "&amp;$C$3-1</f>
        <v>Avrigl 2023</v>
      </c>
      <c r="E120" s="116" t="str">
        <f>"Aprile "&amp;$C$3-1</f>
        <v>Aprile 2023</v>
      </c>
      <c r="F120" s="90"/>
    </row>
    <row r="121" spans="1:6" x14ac:dyDescent="0.2">
      <c r="A121" s="89"/>
      <c r="B121" s="116" t="s">
        <v>245</v>
      </c>
      <c r="C121" s="116" t="str">
        <f>"Januar-April "&amp;$D$3</f>
        <v>Januar-April 24</v>
      </c>
      <c r="D121" s="116" t="str">
        <f>"Schaner-avrigl "&amp;$D$3</f>
        <v>Schaner-avrigl 24</v>
      </c>
      <c r="E121" s="116" t="str">
        <f>"Gennaio-aprile "&amp;$D$3</f>
        <v>Gennaio-aprile 24</v>
      </c>
      <c r="F121" s="90"/>
    </row>
    <row r="122" spans="1:6" x14ac:dyDescent="0.2">
      <c r="A122" s="89"/>
      <c r="B122" s="116" t="s">
        <v>244</v>
      </c>
      <c r="C122" s="116" t="str">
        <f>"Januar-April "&amp;$D$3-1</f>
        <v>Januar-April 23</v>
      </c>
      <c r="D122" s="116" t="str">
        <f>"Schaner-avrigl "&amp;$D$3-1</f>
        <v>Schaner-avrigl 23</v>
      </c>
      <c r="E122" s="116" t="str">
        <f>"Gennaio-aprile "&amp;$D$3-1</f>
        <v>Gennaio-aprile 23</v>
      </c>
      <c r="F122" s="90"/>
    </row>
    <row r="123" spans="1:6" x14ac:dyDescent="0.2">
      <c r="A123" s="89"/>
      <c r="B123" s="90"/>
      <c r="C123" s="90"/>
      <c r="D123" s="90"/>
      <c r="E123" s="90"/>
      <c r="F123" s="90"/>
    </row>
    <row r="124" spans="1:6" ht="25.5" x14ac:dyDescent="0.2">
      <c r="A124" s="90"/>
      <c r="B124" s="88" t="s">
        <v>246</v>
      </c>
      <c r="C124" s="88" t="s">
        <v>371</v>
      </c>
      <c r="D124" s="88" t="s">
        <v>372</v>
      </c>
      <c r="E124" s="88" t="s">
        <v>373</v>
      </c>
      <c r="F124" s="90"/>
    </row>
    <row r="125" spans="1:6" x14ac:dyDescent="0.2">
      <c r="A125" s="90"/>
      <c r="B125" s="90"/>
      <c r="C125" s="90"/>
      <c r="D125" s="90"/>
      <c r="E125" s="90"/>
      <c r="F125" s="90"/>
    </row>
    <row r="126" spans="1:6" x14ac:dyDescent="0.2">
      <c r="A126" s="90"/>
      <c r="B126" s="88" t="s">
        <v>247</v>
      </c>
      <c r="C126" s="94" t="s">
        <v>347</v>
      </c>
      <c r="D126" s="94" t="s">
        <v>348</v>
      </c>
      <c r="E126" s="94" t="s">
        <v>349</v>
      </c>
      <c r="F126" s="90"/>
    </row>
    <row r="127" spans="1:6" s="109" customFormat="1" ht="13.5" thickBot="1" x14ac:dyDescent="0.25">
      <c r="A127" s="108"/>
      <c r="B127" s="108"/>
      <c r="C127" s="108"/>
      <c r="D127" s="108"/>
      <c r="E127" s="108"/>
      <c r="F127" s="108"/>
    </row>
    <row r="128" spans="1:6" x14ac:dyDescent="0.2">
      <c r="A128" s="89"/>
      <c r="B128" s="92"/>
      <c r="C128" s="92"/>
      <c r="D128" s="90"/>
      <c r="E128" s="90"/>
      <c r="F128" s="90"/>
    </row>
    <row r="129" spans="1:6" ht="25.5" x14ac:dyDescent="0.2">
      <c r="A129" s="89" t="s">
        <v>248</v>
      </c>
      <c r="B129" s="116" t="s">
        <v>249</v>
      </c>
      <c r="C129" s="116" t="str">
        <f>"Hotel- und Kurbetriebe: Logiernächte im Mai "&amp;$C$3&amp;", nach Herkunft"</f>
        <v>Hotel- und Kurbetriebe: Logiernächte im Mai 2024, nach Herkunft</v>
      </c>
      <c r="D129" s="116" t="str">
        <f>"Manaschis d' hotel e da cura: pernottaziuns il matg "&amp;$C$3&amp;", tenor la derivanza"</f>
        <v>Manaschis d' hotel e da cura: pernottaziuns il matg 2024, tenor la derivanza</v>
      </c>
      <c r="E129" s="116" t="str">
        <f>"Alberghi e stabilimenti di cura: pernottamenti nel mese di maggio "&amp;$C$3&amp;", per provenienza"</f>
        <v>Alberghi e stabilimenti di cura: pernottamenti nel mese di maggio 2024, per provenienza</v>
      </c>
      <c r="F129" s="90"/>
    </row>
    <row r="130" spans="1:6" ht="25.5" x14ac:dyDescent="0.2">
      <c r="A130" s="89"/>
      <c r="B130" s="116" t="s">
        <v>250</v>
      </c>
      <c r="C130" s="116" t="str">
        <f>"Hotel- und Kurbetriebe: Logiernächte im Mai "&amp;$C$3&amp;", nach Destinationen"</f>
        <v>Hotel- und Kurbetriebe: Logiernächte im Mai 2024, nach Destinationen</v>
      </c>
      <c r="D130" s="116" t="str">
        <f>"Manaschis d' hotel e da cura: pernottaziuns il matg "&amp;$C$3&amp;", tenor destinaziuns"</f>
        <v>Manaschis d' hotel e da cura: pernottaziuns il matg 2024, tenor destinaziuns</v>
      </c>
      <c r="E130" s="116" t="str">
        <f>"Alberghi e stabilimenti di cura: pernottamenti nel mese di maggio "&amp;$C$3&amp;", per destinazione"</f>
        <v>Alberghi e stabilimenti di cura: pernottamenti nel mese di maggio 2024, per destinazione</v>
      </c>
      <c r="F130" s="90"/>
    </row>
    <row r="131" spans="1:6" ht="38.25" x14ac:dyDescent="0.2">
      <c r="A131" s="89"/>
      <c r="B131" s="116" t="s">
        <v>251</v>
      </c>
      <c r="C131" s="116" t="str">
        <f>"Hotel- und Kurbetriebe: Logiernächte im Mai "&amp;$C$3&amp;", nach Schweizer Tourismusregionen"</f>
        <v>Hotel- und Kurbetriebe: Logiernächte im Mai 2024, nach Schweizer Tourismusregionen</v>
      </c>
      <c r="D131" s="116" t="str">
        <f>"Manaschis d' hotel e da cura: pernottaziuns il matg "&amp;$C$3&amp;", tenor regiuns turisticas svizras"</f>
        <v>Manaschis d' hotel e da cura: pernottaziuns il matg 2024, tenor regiuns turisticas svizras</v>
      </c>
      <c r="E131" s="116" t="str">
        <f>"Alberghi e stabilimenti di cura: pernottamenti nel mese di maggio "&amp;$C$3&amp;", per regioni turistiche svizzere"</f>
        <v>Alberghi e stabilimenti di cura: pernottamenti nel mese di maggio 2024, per regioni turistiche svizzere</v>
      </c>
      <c r="F131" s="90"/>
    </row>
    <row r="132" spans="1:6" x14ac:dyDescent="0.2">
      <c r="A132" s="89"/>
      <c r="B132" s="89"/>
      <c r="C132" s="89"/>
      <c r="D132" s="89"/>
      <c r="E132" s="89"/>
      <c r="F132" s="90"/>
    </row>
    <row r="133" spans="1:6" x14ac:dyDescent="0.2">
      <c r="A133" s="89"/>
      <c r="B133" s="116" t="s">
        <v>252</v>
      </c>
      <c r="C133" s="116" t="str">
        <f>"Mai "&amp;$C$3</f>
        <v>Mai 2024</v>
      </c>
      <c r="D133" s="116" t="str">
        <f>"Matg "&amp;$C$3</f>
        <v>Matg 2024</v>
      </c>
      <c r="E133" s="116" t="str">
        <f>"Maggio "&amp;$C$3</f>
        <v>Maggio 2024</v>
      </c>
      <c r="F133" s="90"/>
    </row>
    <row r="134" spans="1:6" x14ac:dyDescent="0.2">
      <c r="A134" s="89"/>
      <c r="B134" s="116" t="s">
        <v>253</v>
      </c>
      <c r="C134" s="116" t="str">
        <f>"Mai "&amp;$C$3-1</f>
        <v>Mai 2023</v>
      </c>
      <c r="D134" s="116" t="str">
        <f>"Matg "&amp;$C$3-1</f>
        <v>Matg 2023</v>
      </c>
      <c r="E134" s="116" t="str">
        <f>"Maggio "&amp;$C$3-1</f>
        <v>Maggio 2023</v>
      </c>
      <c r="F134" s="90"/>
    </row>
    <row r="135" spans="1:6" x14ac:dyDescent="0.2">
      <c r="A135" s="89"/>
      <c r="B135" s="116" t="s">
        <v>243</v>
      </c>
      <c r="C135" s="116" t="str">
        <f>"Januar-Mai "&amp;$D$3</f>
        <v>Januar-Mai 24</v>
      </c>
      <c r="D135" s="116" t="str">
        <f>"Schaner-matg "&amp;$D$3</f>
        <v>Schaner-matg 24</v>
      </c>
      <c r="E135" s="116" t="str">
        <f>"Gennaio-maggio "&amp;$D$3</f>
        <v>Gennaio-maggio 24</v>
      </c>
      <c r="F135" s="90"/>
    </row>
    <row r="136" spans="1:6" x14ac:dyDescent="0.2">
      <c r="A136" s="89"/>
      <c r="B136" s="116" t="s">
        <v>254</v>
      </c>
      <c r="C136" s="116" t="str">
        <f>"Januar-Mai "&amp;$D$3-1</f>
        <v>Januar-Mai 23</v>
      </c>
      <c r="D136" s="116" t="str">
        <f>"Schaner-matg "&amp;$D$3-1</f>
        <v>Schaner-matg 23</v>
      </c>
      <c r="E136" s="116" t="str">
        <f>"Gennaio-maggio "&amp;$D$3-1</f>
        <v>Gennaio-maggio 23</v>
      </c>
      <c r="F136" s="90"/>
    </row>
    <row r="137" spans="1:6" x14ac:dyDescent="0.2">
      <c r="A137" s="89"/>
      <c r="B137" s="90"/>
      <c r="C137" s="90"/>
      <c r="D137" s="90"/>
      <c r="E137" s="90"/>
      <c r="F137" s="90"/>
    </row>
    <row r="138" spans="1:6" ht="25.5" x14ac:dyDescent="0.2">
      <c r="A138" s="90"/>
      <c r="B138" s="88" t="s">
        <v>255</v>
      </c>
      <c r="C138" s="88" t="s">
        <v>374</v>
      </c>
      <c r="D138" s="88" t="s">
        <v>375</v>
      </c>
      <c r="E138" s="88" t="s">
        <v>376</v>
      </c>
      <c r="F138" s="90"/>
    </row>
    <row r="139" spans="1:6" x14ac:dyDescent="0.2">
      <c r="A139" s="90"/>
      <c r="B139" s="90"/>
      <c r="C139" s="90"/>
      <c r="D139" s="90"/>
      <c r="E139" s="90"/>
      <c r="F139" s="90"/>
    </row>
    <row r="140" spans="1:6" x14ac:dyDescent="0.2">
      <c r="A140" s="90"/>
      <c r="B140" s="88" t="s">
        <v>256</v>
      </c>
      <c r="C140" s="94" t="s">
        <v>353</v>
      </c>
      <c r="D140" s="94" t="s">
        <v>354</v>
      </c>
      <c r="E140" s="94" t="s">
        <v>355</v>
      </c>
      <c r="F140" s="90"/>
    </row>
    <row r="141" spans="1:6" s="109" customFormat="1" ht="13.5" thickBot="1" x14ac:dyDescent="0.25">
      <c r="A141" s="108"/>
      <c r="B141" s="108"/>
      <c r="C141" s="108"/>
      <c r="D141" s="108"/>
      <c r="E141" s="108"/>
      <c r="F141" s="108"/>
    </row>
    <row r="142" spans="1:6" x14ac:dyDescent="0.2">
      <c r="A142" s="89"/>
      <c r="B142" s="92"/>
      <c r="C142" s="92"/>
      <c r="D142" s="90"/>
      <c r="E142" s="90"/>
      <c r="F142" s="90"/>
    </row>
    <row r="143" spans="1:6" ht="25.5" x14ac:dyDescent="0.2">
      <c r="A143" s="89" t="s">
        <v>257</v>
      </c>
      <c r="B143" s="116" t="s">
        <v>258</v>
      </c>
      <c r="C143" s="116" t="str">
        <f>"Hotel- und Kurbetriebe: Logiernächte im Juni "&amp;$C$3&amp;", nach Herkunft"</f>
        <v>Hotel- und Kurbetriebe: Logiernächte im Juni 2024, nach Herkunft</v>
      </c>
      <c r="D143" s="116" t="str">
        <f>"Manaschis d' hotel e da cura: pernottaziuns il zercladur "&amp;$C$3&amp;", tenor la derivanza"</f>
        <v>Manaschis d' hotel e da cura: pernottaziuns il zercladur 2024, tenor la derivanza</v>
      </c>
      <c r="E143" s="116" t="str">
        <f>"Alberghi e stabilimenti di cura: pernottamenti nel mese di giugno "&amp;$C$3&amp;", per provenienza"</f>
        <v>Alberghi e stabilimenti di cura: pernottamenti nel mese di giugno 2024, per provenienza</v>
      </c>
      <c r="F143" s="90"/>
    </row>
    <row r="144" spans="1:6" ht="25.5" x14ac:dyDescent="0.2">
      <c r="A144" s="89"/>
      <c r="B144" s="116" t="s">
        <v>259</v>
      </c>
      <c r="C144" s="116" t="str">
        <f>"Hotel- und Kurbetriebe: Logiernächte im Juni "&amp;$C$3&amp;", nach Destinationen"</f>
        <v>Hotel- und Kurbetriebe: Logiernächte im Juni 2024, nach Destinationen</v>
      </c>
      <c r="D144" s="116" t="str">
        <f>"Manaschis d' hotel e da cura: pernottaziuns il zercladur "&amp;$C$3&amp;", tenor destinaziuns"</f>
        <v>Manaschis d' hotel e da cura: pernottaziuns il zercladur 2024, tenor destinaziuns</v>
      </c>
      <c r="E144" s="116" t="str">
        <f>"Alberghi e stabilimenti di cura: pernottamenti nel mese di giugno "&amp;$C$3&amp;", per destinazione"</f>
        <v>Alberghi e stabilimenti di cura: pernottamenti nel mese di giugno 2024, per destinazione</v>
      </c>
      <c r="F144" s="90"/>
    </row>
    <row r="145" spans="1:6" ht="38.25" x14ac:dyDescent="0.2">
      <c r="A145" s="89"/>
      <c r="B145" s="116" t="s">
        <v>260</v>
      </c>
      <c r="C145" s="116" t="str">
        <f>"Hotel- und Kurbetriebe: Logiernächte im Juni "&amp;$C$3&amp;", nach Schweizer Tourismusregionen"</f>
        <v>Hotel- und Kurbetriebe: Logiernächte im Juni 2024, nach Schweizer Tourismusregionen</v>
      </c>
      <c r="D145" s="116" t="str">
        <f>"Manaschis d' hotel e da cura: pernottaziuns il zercladur "&amp;$C$3&amp;", tenor regiuns turisticas svizras"</f>
        <v>Manaschis d' hotel e da cura: pernottaziuns il zercladur 2024, tenor regiuns turisticas svizras</v>
      </c>
      <c r="E145" s="116" t="str">
        <f>"Alberghi e stabilimenti di cura: pernottamenti nel mese di giugno "&amp;$C$3&amp;", per regioni turistiche svizzere"</f>
        <v>Alberghi e stabilimenti di cura: pernottamenti nel mese di giugno 2024, per regioni turistiche svizzere</v>
      </c>
      <c r="F145" s="90"/>
    </row>
    <row r="146" spans="1:6" x14ac:dyDescent="0.2">
      <c r="A146" s="89"/>
      <c r="B146" s="89"/>
      <c r="C146" s="89"/>
      <c r="D146" s="89"/>
      <c r="E146" s="89"/>
      <c r="F146" s="90"/>
    </row>
    <row r="147" spans="1:6" x14ac:dyDescent="0.2">
      <c r="A147" s="89"/>
      <c r="B147" s="116" t="s">
        <v>261</v>
      </c>
      <c r="C147" s="116" t="str">
        <f>"Juni "&amp;$C$3</f>
        <v>Juni 2024</v>
      </c>
      <c r="D147" s="116" t="str">
        <f>"Zercladur "&amp;$C$3</f>
        <v>Zercladur 2024</v>
      </c>
      <c r="E147" s="116" t="str">
        <f>"Giugno "&amp;$C$3</f>
        <v>Giugno 2024</v>
      </c>
      <c r="F147" s="90"/>
    </row>
    <row r="148" spans="1:6" x14ac:dyDescent="0.2">
      <c r="A148" s="89"/>
      <c r="B148" s="116" t="s">
        <v>262</v>
      </c>
      <c r="C148" s="116" t="str">
        <f>"Juni "&amp;$C$3-1</f>
        <v>Juni 2023</v>
      </c>
      <c r="D148" s="116" t="str">
        <f>"Zercladur "&amp;$C$3-1</f>
        <v>Zercladur 2023</v>
      </c>
      <c r="E148" s="116" t="str">
        <f>"Giugno "&amp;$C$3-1</f>
        <v>Giugno 2023</v>
      </c>
      <c r="F148" s="90"/>
    </row>
    <row r="149" spans="1:6" x14ac:dyDescent="0.2">
      <c r="A149" s="89"/>
      <c r="B149" s="116" t="s">
        <v>263</v>
      </c>
      <c r="C149" s="116" t="str">
        <f>"Januar-Juni "&amp;$D$3</f>
        <v>Januar-Juni 24</v>
      </c>
      <c r="D149" s="116" t="str">
        <f>"Schaner-zercladur "&amp;$D$3</f>
        <v>Schaner-zercladur 24</v>
      </c>
      <c r="E149" s="116" t="str">
        <f>"Gennaio-giugno "&amp;$D$3</f>
        <v>Gennaio-giugno 24</v>
      </c>
      <c r="F149" s="90"/>
    </row>
    <row r="150" spans="1:6" x14ac:dyDescent="0.2">
      <c r="A150" s="89"/>
      <c r="B150" s="116" t="s">
        <v>264</v>
      </c>
      <c r="C150" s="116" t="str">
        <f>"Januar-Juni "&amp;$D$3-1</f>
        <v>Januar-Juni 23</v>
      </c>
      <c r="D150" s="116" t="str">
        <f>"Schaner-zercladur "&amp;$D$3-1</f>
        <v>Schaner-zercladur 23</v>
      </c>
      <c r="E150" s="116" t="str">
        <f>"Gennaio-giugno "&amp;$D$3-1</f>
        <v>Gennaio-giugno 23</v>
      </c>
      <c r="F150" s="90"/>
    </row>
    <row r="151" spans="1:6" x14ac:dyDescent="0.2">
      <c r="A151" s="89"/>
      <c r="B151" s="90"/>
      <c r="C151" s="90"/>
      <c r="D151" s="90"/>
      <c r="E151" s="90"/>
      <c r="F151" s="90"/>
    </row>
    <row r="152" spans="1:6" ht="25.5" x14ac:dyDescent="0.2">
      <c r="A152" s="90"/>
      <c r="B152" s="88" t="s">
        <v>265</v>
      </c>
      <c r="C152" s="88" t="s">
        <v>377</v>
      </c>
      <c r="D152" s="88" t="s">
        <v>378</v>
      </c>
      <c r="E152" s="88" t="s">
        <v>379</v>
      </c>
      <c r="F152" s="90"/>
    </row>
    <row r="153" spans="1:6" x14ac:dyDescent="0.2">
      <c r="A153" s="90"/>
      <c r="B153" s="90"/>
      <c r="C153" s="90"/>
      <c r="D153" s="90"/>
      <c r="E153" s="90"/>
      <c r="F153" s="90"/>
    </row>
    <row r="154" spans="1:6" x14ac:dyDescent="0.2">
      <c r="A154" s="90"/>
      <c r="B154" s="88" t="s">
        <v>266</v>
      </c>
      <c r="C154" s="94" t="s">
        <v>356</v>
      </c>
      <c r="D154" s="94" t="s">
        <v>357</v>
      </c>
      <c r="E154" s="94" t="s">
        <v>358</v>
      </c>
      <c r="F154" s="90"/>
    </row>
    <row r="155" spans="1:6" s="109" customFormat="1" ht="13.5" thickBot="1" x14ac:dyDescent="0.25">
      <c r="A155" s="108"/>
      <c r="B155" s="108"/>
      <c r="C155" s="108"/>
      <c r="D155" s="108"/>
      <c r="E155" s="108"/>
      <c r="F155" s="108"/>
    </row>
    <row r="156" spans="1:6" x14ac:dyDescent="0.2">
      <c r="A156" s="89"/>
      <c r="B156" s="92"/>
      <c r="C156" s="92"/>
      <c r="D156" s="90"/>
      <c r="E156" s="90"/>
      <c r="F156" s="90"/>
    </row>
    <row r="157" spans="1:6" ht="25.5" x14ac:dyDescent="0.2">
      <c r="A157" s="89" t="s">
        <v>267</v>
      </c>
      <c r="B157" s="116" t="s">
        <v>268</v>
      </c>
      <c r="C157" s="116" t="str">
        <f>"Hotel- und Kurbetriebe: Logiernächte im Juli "&amp;$C$3&amp;", nach Herkunft"</f>
        <v>Hotel- und Kurbetriebe: Logiernächte im Juli 2024, nach Herkunft</v>
      </c>
      <c r="D157" s="116" t="str">
        <f>"Manaschis d' hotel e da cura: pernottaziuns il fanadur "&amp;$C$3&amp;", tenor la derivanza"</f>
        <v>Manaschis d' hotel e da cura: pernottaziuns il fanadur 2024, tenor la derivanza</v>
      </c>
      <c r="E157" s="116" t="str">
        <f>"Alberghi e stabilimenti di cura: pernottamenti nel mese di luglio "&amp;$C$3&amp;", per provenienza"</f>
        <v>Alberghi e stabilimenti di cura: pernottamenti nel mese di luglio 2024, per provenienza</v>
      </c>
      <c r="F157" s="90"/>
    </row>
    <row r="158" spans="1:6" ht="25.5" x14ac:dyDescent="0.2">
      <c r="A158" s="89"/>
      <c r="B158" s="116" t="s">
        <v>269</v>
      </c>
      <c r="C158" s="116" t="str">
        <f>"Hotel- und Kurbetriebe: Logiernächte im Juli "&amp;$C$3&amp;", nach Destinationen"</f>
        <v>Hotel- und Kurbetriebe: Logiernächte im Juli 2024, nach Destinationen</v>
      </c>
      <c r="D158" s="116" t="str">
        <f>"Manaschis d' hotel e da cura: pernottaziuns il fanadur "&amp;$C$3&amp;", tenor destinaziuns"</f>
        <v>Manaschis d' hotel e da cura: pernottaziuns il fanadur 2024, tenor destinaziuns</v>
      </c>
      <c r="E158" s="116" t="str">
        <f>"Alberghi e stabilimenti di cura: pernottamenti nel mese di luglio "&amp;$C$3&amp;", per destinazione"</f>
        <v>Alberghi e stabilimenti di cura: pernottamenti nel mese di luglio 2024, per destinazione</v>
      </c>
      <c r="F158" s="90"/>
    </row>
    <row r="159" spans="1:6" ht="38.25" x14ac:dyDescent="0.2">
      <c r="A159" s="89"/>
      <c r="B159" s="116" t="s">
        <v>270</v>
      </c>
      <c r="C159" s="116" t="str">
        <f>"Hotel- und Kurbetriebe: Logiernächte im Juli "&amp;$C$3&amp;", nach Schweizer Tourismusregionen"</f>
        <v>Hotel- und Kurbetriebe: Logiernächte im Juli 2024, nach Schweizer Tourismusregionen</v>
      </c>
      <c r="D159" s="116" t="str">
        <f>"Manaschis d' hotel e da cura: pernottaziuns il fanadur "&amp;$C$3&amp;", tenor regiuns turisticas svizras"</f>
        <v>Manaschis d' hotel e da cura: pernottaziuns il fanadur 2024, tenor regiuns turisticas svizras</v>
      </c>
      <c r="E159" s="116" t="str">
        <f>"Alberghi e stabilimenti di cura: pernottamenti nel mese di luglio "&amp;$C$3&amp;", per regioni turistiche svizzere"</f>
        <v>Alberghi e stabilimenti di cura: pernottamenti nel mese di luglio 2024, per regioni turistiche svizzere</v>
      </c>
      <c r="F159" s="90"/>
    </row>
    <row r="160" spans="1:6" x14ac:dyDescent="0.2">
      <c r="A160" s="89"/>
      <c r="B160" s="89"/>
      <c r="C160" s="89"/>
      <c r="D160" s="89"/>
      <c r="E160" s="89"/>
      <c r="F160" s="90"/>
    </row>
    <row r="161" spans="1:6" x14ac:dyDescent="0.2">
      <c r="A161" s="89"/>
      <c r="B161" s="116" t="s">
        <v>271</v>
      </c>
      <c r="C161" s="116" t="str">
        <f>"Juli "&amp;$C$3</f>
        <v>Juli 2024</v>
      </c>
      <c r="D161" s="116" t="str">
        <f>"Fanadur "&amp;$C$3</f>
        <v>Fanadur 2024</v>
      </c>
      <c r="E161" s="116" t="str">
        <f>"Luglio "&amp;$C$3</f>
        <v>Luglio 2024</v>
      </c>
      <c r="F161" s="90"/>
    </row>
    <row r="162" spans="1:6" x14ac:dyDescent="0.2">
      <c r="A162" s="89"/>
      <c r="B162" s="116" t="s">
        <v>272</v>
      </c>
      <c r="C162" s="116" t="str">
        <f>"Juli "&amp;$C$3-1</f>
        <v>Juli 2023</v>
      </c>
      <c r="D162" s="116" t="str">
        <f>"Fanadur "&amp;$C$3-1</f>
        <v>Fanadur 2023</v>
      </c>
      <c r="E162" s="116" t="str">
        <f>"Luglio "&amp;$C$3-1</f>
        <v>Luglio 2023</v>
      </c>
      <c r="F162" s="90"/>
    </row>
    <row r="163" spans="1:6" x14ac:dyDescent="0.2">
      <c r="A163" s="89"/>
      <c r="B163" s="116" t="s">
        <v>273</v>
      </c>
      <c r="C163" s="116" t="str">
        <f>"Januar-Juli "&amp;$D$3</f>
        <v>Januar-Juli 24</v>
      </c>
      <c r="D163" s="116" t="str">
        <f>"Schaner-fanadur "&amp;$D$3</f>
        <v>Schaner-fanadur 24</v>
      </c>
      <c r="E163" s="116" t="str">
        <f>"Gennaio-luglio "&amp;$D$3</f>
        <v>Gennaio-luglio 24</v>
      </c>
      <c r="F163" s="90"/>
    </row>
    <row r="164" spans="1:6" x14ac:dyDescent="0.2">
      <c r="A164" s="89"/>
      <c r="B164" s="116" t="s">
        <v>274</v>
      </c>
      <c r="C164" s="116" t="str">
        <f>"Januar-Juli "&amp;$D$3-1</f>
        <v>Januar-Juli 23</v>
      </c>
      <c r="D164" s="116" t="str">
        <f>"Schaner-fanadur "&amp;$D$3-1</f>
        <v>Schaner-fanadur 23</v>
      </c>
      <c r="E164" s="116" t="str">
        <f>"Gennaio-luglio "&amp;$D$3-1</f>
        <v>Gennaio-luglio 23</v>
      </c>
      <c r="F164" s="90"/>
    </row>
    <row r="165" spans="1:6" x14ac:dyDescent="0.2">
      <c r="A165" s="89"/>
      <c r="B165" s="90"/>
      <c r="C165" s="90"/>
      <c r="D165" s="90"/>
      <c r="E165" s="90"/>
      <c r="F165" s="90"/>
    </row>
    <row r="166" spans="1:6" ht="25.5" x14ac:dyDescent="0.2">
      <c r="A166" s="90"/>
      <c r="B166" s="88" t="s">
        <v>277</v>
      </c>
      <c r="C166" s="88" t="s">
        <v>380</v>
      </c>
      <c r="D166" s="88" t="s">
        <v>381</v>
      </c>
      <c r="E166" s="88" t="s">
        <v>382</v>
      </c>
      <c r="F166" s="90"/>
    </row>
    <row r="167" spans="1:6" x14ac:dyDescent="0.2">
      <c r="A167" s="90"/>
      <c r="B167" s="90"/>
      <c r="C167" s="90"/>
      <c r="D167" s="90"/>
      <c r="E167" s="90"/>
      <c r="F167" s="90"/>
    </row>
    <row r="168" spans="1:6" x14ac:dyDescent="0.2">
      <c r="A168" s="90"/>
      <c r="B168" s="88" t="s">
        <v>276</v>
      </c>
      <c r="C168" s="94" t="s">
        <v>359</v>
      </c>
      <c r="D168" s="94" t="s">
        <v>360</v>
      </c>
      <c r="E168" s="94" t="s">
        <v>361</v>
      </c>
      <c r="F168" s="90"/>
    </row>
    <row r="169" spans="1:6" s="109" customFormat="1" ht="13.5" thickBot="1" x14ac:dyDescent="0.25">
      <c r="A169" s="108"/>
      <c r="B169" s="108"/>
      <c r="C169" s="108"/>
      <c r="D169" s="108"/>
      <c r="E169" s="108"/>
      <c r="F169" s="108"/>
    </row>
    <row r="170" spans="1:6" x14ac:dyDescent="0.2">
      <c r="A170" s="89"/>
      <c r="B170" s="92"/>
      <c r="C170" s="92"/>
      <c r="D170" s="90"/>
      <c r="E170" s="90"/>
      <c r="F170" s="90"/>
    </row>
    <row r="171" spans="1:6" ht="25.5" x14ac:dyDescent="0.2">
      <c r="A171" s="89" t="s">
        <v>278</v>
      </c>
      <c r="B171" s="116" t="s">
        <v>279</v>
      </c>
      <c r="C171" s="116" t="str">
        <f>"Hotel- und Kurbetriebe: Logiernächte im August "&amp;$C$3&amp;", nach Herkunft"</f>
        <v>Hotel- und Kurbetriebe: Logiernächte im August 2024, nach Herkunft</v>
      </c>
      <c r="D171" s="116" t="str">
        <f>"Manaschis d' hotel e da cura: pernottaziuns il avust "&amp;$C$3&amp;", tenor la derivanza"</f>
        <v>Manaschis d' hotel e da cura: pernottaziuns il avust 2024, tenor la derivanza</v>
      </c>
      <c r="E171" s="116" t="str">
        <f>"Alberghi e stabilimenti di cura: pernottamenti nel mese di agosto "&amp;$C$3&amp;", per provenienza"</f>
        <v>Alberghi e stabilimenti di cura: pernottamenti nel mese di agosto 2024, per provenienza</v>
      </c>
      <c r="F171" s="90"/>
    </row>
    <row r="172" spans="1:6" ht="25.5" x14ac:dyDescent="0.2">
      <c r="A172" s="89"/>
      <c r="B172" s="116" t="s">
        <v>280</v>
      </c>
      <c r="C172" s="116" t="str">
        <f>"Hotel- und Kurbetriebe: Logiernächte im August "&amp;$C$3&amp;", nach Destinationen"</f>
        <v>Hotel- und Kurbetriebe: Logiernächte im August 2024, nach Destinationen</v>
      </c>
      <c r="D172" s="116" t="str">
        <f>"Manaschis d' hotel e da cura: pernottaziuns il avust "&amp;$C$3&amp;", tenor destinaziuns"</f>
        <v>Manaschis d' hotel e da cura: pernottaziuns il avust 2024, tenor destinaziuns</v>
      </c>
      <c r="E172" s="116" t="str">
        <f>"Alberghi e stabilimenti di cura: pernottamenti nel mese di agosto "&amp;$C$3&amp;", per destinazione"</f>
        <v>Alberghi e stabilimenti di cura: pernottamenti nel mese di agosto 2024, per destinazione</v>
      </c>
      <c r="F172" s="90"/>
    </row>
    <row r="173" spans="1:6" ht="38.25" x14ac:dyDescent="0.2">
      <c r="A173" s="89"/>
      <c r="B173" s="116" t="s">
        <v>281</v>
      </c>
      <c r="C173" s="116" t="str">
        <f>"Hotel- und Kurbetriebe: Logiernächte im August "&amp;$C$3&amp;", nach Schweizer Tourismusregionen"</f>
        <v>Hotel- und Kurbetriebe: Logiernächte im August 2024, nach Schweizer Tourismusregionen</v>
      </c>
      <c r="D173" s="116" t="str">
        <f>"Manaschis d' hotel e da cura: pernottaziuns il avust "&amp;$C$3&amp;", tenor regiuns turisticas svizras"</f>
        <v>Manaschis d' hotel e da cura: pernottaziuns il avust 2024, tenor regiuns turisticas svizras</v>
      </c>
      <c r="E173" s="116" t="str">
        <f>"Alberghi e stabilimenti di cura: pernottamenti nel mese di agosto "&amp;$C$3&amp;", per regioni turistiche svizzere"</f>
        <v>Alberghi e stabilimenti di cura: pernottamenti nel mese di agosto 2024, per regioni turistiche svizzere</v>
      </c>
      <c r="F173" s="90"/>
    </row>
    <row r="174" spans="1:6" x14ac:dyDescent="0.2">
      <c r="A174" s="89"/>
      <c r="B174" s="89"/>
      <c r="C174" s="89"/>
      <c r="D174" s="89"/>
      <c r="E174" s="89"/>
      <c r="F174" s="90"/>
    </row>
    <row r="175" spans="1:6" x14ac:dyDescent="0.2">
      <c r="A175" s="89"/>
      <c r="B175" s="116" t="s">
        <v>282</v>
      </c>
      <c r="C175" s="116" t="str">
        <f>"August "&amp;$C$3</f>
        <v>August 2024</v>
      </c>
      <c r="D175" s="116" t="str">
        <f>"Avust "&amp;$C$3</f>
        <v>Avust 2024</v>
      </c>
      <c r="E175" s="116" t="str">
        <f>"Agosto "&amp;$C$3</f>
        <v>Agosto 2024</v>
      </c>
      <c r="F175" s="90"/>
    </row>
    <row r="176" spans="1:6" x14ac:dyDescent="0.2">
      <c r="A176" s="89"/>
      <c r="B176" s="116" t="s">
        <v>283</v>
      </c>
      <c r="C176" s="116" t="str">
        <f>"August "&amp;$C$3-1</f>
        <v>August 2023</v>
      </c>
      <c r="D176" s="116" t="str">
        <f>"Avust "&amp;$C$3-1</f>
        <v>Avust 2023</v>
      </c>
      <c r="E176" s="116" t="str">
        <f>"Agosto "&amp;$C$3-1</f>
        <v>Agosto 2023</v>
      </c>
      <c r="F176" s="90"/>
    </row>
    <row r="177" spans="1:6" x14ac:dyDescent="0.2">
      <c r="A177" s="89"/>
      <c r="B177" s="116" t="s">
        <v>284</v>
      </c>
      <c r="C177" s="116" t="str">
        <f>"Januar-August "&amp;$D$3</f>
        <v>Januar-August 24</v>
      </c>
      <c r="D177" s="116" t="str">
        <f>"Schaner-avust "&amp;$D$3</f>
        <v>Schaner-avust 24</v>
      </c>
      <c r="E177" s="116" t="str">
        <f>"Gennaio-agosto "&amp;$D$3</f>
        <v>Gennaio-agosto 24</v>
      </c>
      <c r="F177" s="90"/>
    </row>
    <row r="178" spans="1:6" x14ac:dyDescent="0.2">
      <c r="A178" s="89"/>
      <c r="B178" s="116" t="s">
        <v>285</v>
      </c>
      <c r="C178" s="116" t="str">
        <f>"Januar-August "&amp;$D$3-1</f>
        <v>Januar-August 23</v>
      </c>
      <c r="D178" s="116" t="str">
        <f>"Schaner-avust "&amp;$D$3-1</f>
        <v>Schaner-avust 23</v>
      </c>
      <c r="E178" s="116" t="str">
        <f>"Gennaio-agosto "&amp;$D$3-1</f>
        <v>Gennaio-agosto 23</v>
      </c>
      <c r="F178" s="90"/>
    </row>
    <row r="179" spans="1:6" x14ac:dyDescent="0.2">
      <c r="A179" s="89"/>
      <c r="B179" s="90"/>
      <c r="C179" s="90"/>
      <c r="D179" s="90"/>
      <c r="E179" s="90"/>
      <c r="F179" s="90"/>
    </row>
    <row r="180" spans="1:6" ht="25.5" x14ac:dyDescent="0.2">
      <c r="A180" s="90"/>
      <c r="B180" s="88" t="s">
        <v>275</v>
      </c>
      <c r="C180" s="88" t="s">
        <v>383</v>
      </c>
      <c r="D180" s="88" t="s">
        <v>384</v>
      </c>
      <c r="E180" s="88" t="s">
        <v>385</v>
      </c>
      <c r="F180" s="90"/>
    </row>
    <row r="181" spans="1:6" x14ac:dyDescent="0.2">
      <c r="A181" s="90"/>
      <c r="B181" s="90"/>
      <c r="C181" s="90"/>
      <c r="D181" s="90"/>
      <c r="E181" s="90"/>
      <c r="F181" s="90"/>
    </row>
    <row r="182" spans="1:6" x14ac:dyDescent="0.2">
      <c r="A182" s="90"/>
      <c r="B182" s="88" t="s">
        <v>286</v>
      </c>
      <c r="C182" s="94" t="s">
        <v>362</v>
      </c>
      <c r="D182" s="94" t="s">
        <v>363</v>
      </c>
      <c r="E182" s="94" t="s">
        <v>364</v>
      </c>
      <c r="F182" s="90"/>
    </row>
    <row r="183" spans="1:6" s="109" customFormat="1" ht="13.5" thickBot="1" x14ac:dyDescent="0.25">
      <c r="A183" s="108"/>
      <c r="B183" s="108"/>
      <c r="C183" s="108"/>
      <c r="D183" s="108"/>
      <c r="E183" s="108"/>
      <c r="F183" s="108"/>
    </row>
    <row r="184" spans="1:6" x14ac:dyDescent="0.2">
      <c r="A184" s="89"/>
      <c r="B184" s="92"/>
      <c r="C184" s="92"/>
      <c r="D184" s="90"/>
      <c r="E184" s="90"/>
      <c r="F184" s="90"/>
    </row>
    <row r="185" spans="1:6" ht="25.5" x14ac:dyDescent="0.2">
      <c r="A185" s="89" t="s">
        <v>287</v>
      </c>
      <c r="B185" s="116" t="s">
        <v>288</v>
      </c>
      <c r="C185" s="116" t="str">
        <f>"Hotel- und Kurbetriebe: Logiernächte im September "&amp;$C$3&amp;", nach Herkunft"</f>
        <v>Hotel- und Kurbetriebe: Logiernächte im September 2024, nach Herkunft</v>
      </c>
      <c r="D185" s="116" t="str">
        <f>"Manaschis d' hotel e da cura: pernottaziuns il september "&amp;$C$3&amp;", tenor la derivanza"</f>
        <v>Manaschis d' hotel e da cura: pernottaziuns il september 2024, tenor la derivanza</v>
      </c>
      <c r="E185" s="116" t="str">
        <f>"Alberghi e stabilimenti di cura: pernottamenti nel mese di settembre "&amp;$C$3&amp;", per provenienza"</f>
        <v>Alberghi e stabilimenti di cura: pernottamenti nel mese di settembre 2024, per provenienza</v>
      </c>
      <c r="F185" s="90"/>
    </row>
    <row r="186" spans="1:6" ht="25.5" x14ac:dyDescent="0.2">
      <c r="A186" s="89"/>
      <c r="B186" s="116" t="s">
        <v>289</v>
      </c>
      <c r="C186" s="116" t="str">
        <f>"Hotel- und Kurbetriebe: Logiernächte im September "&amp;$C$3&amp;", nach Destinationen"</f>
        <v>Hotel- und Kurbetriebe: Logiernächte im September 2024, nach Destinationen</v>
      </c>
      <c r="D186" s="116" t="str">
        <f>"Manaschis d' hotel e da cura: pernottaziuns il september "&amp;$C$3&amp;", tenor destinaziuns"</f>
        <v>Manaschis d' hotel e da cura: pernottaziuns il september 2024, tenor destinaziuns</v>
      </c>
      <c r="E186" s="116" t="str">
        <f>"Alberghi e stabilimenti di cura: pernottamenti nel mese di settembre "&amp;$C$3&amp;", per destinazione"</f>
        <v>Alberghi e stabilimenti di cura: pernottamenti nel mese di settembre 2024, per destinazione</v>
      </c>
      <c r="F186" s="90"/>
    </row>
    <row r="187" spans="1:6" ht="38.25" x14ac:dyDescent="0.2">
      <c r="A187" s="89"/>
      <c r="B187" s="116" t="s">
        <v>290</v>
      </c>
      <c r="C187" s="116" t="str">
        <f>"Hotel- und Kurbetriebe: Logiernächte im September "&amp;$C$3&amp;", nach Schweizer Tourismusregionen"</f>
        <v>Hotel- und Kurbetriebe: Logiernächte im September 2024, nach Schweizer Tourismusregionen</v>
      </c>
      <c r="D187" s="116" t="str">
        <f>"Manaschis d' hotel e da cura: pernottaziuns il september "&amp;$C$3&amp;", tenor regiuns turisticas svizras"</f>
        <v>Manaschis d' hotel e da cura: pernottaziuns il september 2024, tenor regiuns turisticas svizras</v>
      </c>
      <c r="E187" s="116" t="str">
        <f>"Alberghi e stabilimenti di cura: pernottamenti nel mese di settembre "&amp;$C$3&amp;", per regioni turistiche svizzere"</f>
        <v>Alberghi e stabilimenti di cura: pernottamenti nel mese di settembre 2024, per regioni turistiche svizzere</v>
      </c>
      <c r="F187" s="90"/>
    </row>
    <row r="188" spans="1:6" x14ac:dyDescent="0.2">
      <c r="A188" s="89"/>
      <c r="B188" s="89"/>
      <c r="C188" s="89"/>
      <c r="D188" s="89"/>
      <c r="E188" s="89"/>
      <c r="F188" s="90"/>
    </row>
    <row r="189" spans="1:6" x14ac:dyDescent="0.2">
      <c r="A189" s="89"/>
      <c r="B189" s="116" t="s">
        <v>291</v>
      </c>
      <c r="C189" s="116" t="str">
        <f>"September "&amp;$C$3</f>
        <v>September 2024</v>
      </c>
      <c r="D189" s="116" t="str">
        <f>"September "&amp;$C$3</f>
        <v>September 2024</v>
      </c>
      <c r="E189" s="116" t="str">
        <f>"Settembre "&amp;$C$3</f>
        <v>Settembre 2024</v>
      </c>
      <c r="F189" s="90"/>
    </row>
    <row r="190" spans="1:6" x14ac:dyDescent="0.2">
      <c r="A190" s="89"/>
      <c r="B190" s="116" t="s">
        <v>292</v>
      </c>
      <c r="C190" s="116" t="str">
        <f>"September "&amp;$C$3-1</f>
        <v>September 2023</v>
      </c>
      <c r="D190" s="116" t="str">
        <f>"September "&amp;$C$3-1</f>
        <v>September 2023</v>
      </c>
      <c r="E190" s="116" t="str">
        <f>"Settembre "&amp;$C$3-1</f>
        <v>Settembre 2023</v>
      </c>
      <c r="F190" s="90"/>
    </row>
    <row r="191" spans="1:6" x14ac:dyDescent="0.2">
      <c r="A191" s="89"/>
      <c r="B191" s="116" t="s">
        <v>293</v>
      </c>
      <c r="C191" s="116" t="str">
        <f>"Januar-September "&amp;$D$3</f>
        <v>Januar-September 24</v>
      </c>
      <c r="D191" s="116" t="str">
        <f>"Schaner-september "&amp;$D$3</f>
        <v>Schaner-september 24</v>
      </c>
      <c r="E191" s="116" t="str">
        <f>"Gennaio-settembre "&amp;$D$3</f>
        <v>Gennaio-settembre 24</v>
      </c>
      <c r="F191" s="90"/>
    </row>
    <row r="192" spans="1:6" x14ac:dyDescent="0.2">
      <c r="A192" s="89"/>
      <c r="B192" s="116" t="s">
        <v>294</v>
      </c>
      <c r="C192" s="116" t="str">
        <f>"Januar-September "&amp;$D$3-1</f>
        <v>Januar-September 23</v>
      </c>
      <c r="D192" s="116" t="str">
        <f>"Schaner-september "&amp;$D$3-1</f>
        <v>Schaner-september 23</v>
      </c>
      <c r="E192" s="116" t="str">
        <f>"Gennaio-settembre "&amp;$D$3-1</f>
        <v>Gennaio-settembre 23</v>
      </c>
      <c r="F192" s="90"/>
    </row>
    <row r="193" spans="1:6" x14ac:dyDescent="0.2">
      <c r="A193" s="89"/>
      <c r="B193" s="90"/>
      <c r="C193" s="90"/>
      <c r="D193" s="90"/>
      <c r="E193" s="90"/>
      <c r="F193" s="90"/>
    </row>
    <row r="194" spans="1:6" ht="25.5" x14ac:dyDescent="0.2">
      <c r="A194" s="90"/>
      <c r="B194" s="88" t="s">
        <v>295</v>
      </c>
      <c r="C194" s="88" t="s">
        <v>386</v>
      </c>
      <c r="D194" s="88" t="s">
        <v>387</v>
      </c>
      <c r="E194" s="88" t="s">
        <v>388</v>
      </c>
      <c r="F194" s="90"/>
    </row>
    <row r="195" spans="1:6" x14ac:dyDescent="0.2">
      <c r="A195" s="90"/>
      <c r="B195" s="90"/>
      <c r="C195" s="90"/>
      <c r="D195" s="90"/>
      <c r="E195" s="90"/>
      <c r="F195" s="90"/>
    </row>
    <row r="196" spans="1:6" x14ac:dyDescent="0.2">
      <c r="A196" s="90"/>
      <c r="B196" s="88" t="s">
        <v>296</v>
      </c>
      <c r="C196" s="94" t="s">
        <v>365</v>
      </c>
      <c r="D196" s="94" t="s">
        <v>366</v>
      </c>
      <c r="E196" s="94" t="s">
        <v>367</v>
      </c>
      <c r="F196" s="90"/>
    </row>
    <row r="197" spans="1:6" s="109" customFormat="1" ht="13.5" thickBot="1" x14ac:dyDescent="0.25">
      <c r="A197" s="108"/>
      <c r="B197" s="108"/>
      <c r="C197" s="108"/>
      <c r="D197" s="108"/>
      <c r="E197" s="108"/>
      <c r="F197" s="108"/>
    </row>
    <row r="198" spans="1:6" x14ac:dyDescent="0.2">
      <c r="A198" s="89"/>
      <c r="B198" s="92"/>
      <c r="C198" s="92"/>
      <c r="D198" s="90"/>
      <c r="E198" s="90"/>
      <c r="F198" s="90"/>
    </row>
    <row r="199" spans="1:6" ht="25.5" x14ac:dyDescent="0.2">
      <c r="A199" s="89" t="s">
        <v>297</v>
      </c>
      <c r="B199" s="116" t="s">
        <v>298</v>
      </c>
      <c r="C199" s="116" t="str">
        <f>"Hotel- und Kurbetriebe: Logiernächte im Oktober "&amp;$C$3&amp;", nach Herkunft"</f>
        <v>Hotel- und Kurbetriebe: Logiernächte im Oktober 2024, nach Herkunft</v>
      </c>
      <c r="D199" s="116" t="str">
        <f>"Manaschis d' hotel e da cura: pernottaziuns il oktober "&amp;$C$3&amp;", tenor la derivanza"</f>
        <v>Manaschis d' hotel e da cura: pernottaziuns il oktober 2024, tenor la derivanza</v>
      </c>
      <c r="E199" s="116" t="str">
        <f>"Alberghi e stabilimenti di cura: pernottamenti nel mese di ottobre "&amp;$C$3&amp;", per provenienza"</f>
        <v>Alberghi e stabilimenti di cura: pernottamenti nel mese di ottobre 2024, per provenienza</v>
      </c>
      <c r="F199" s="90"/>
    </row>
    <row r="200" spans="1:6" ht="25.5" x14ac:dyDescent="0.2">
      <c r="A200" s="89"/>
      <c r="B200" s="116" t="s">
        <v>299</v>
      </c>
      <c r="C200" s="116" t="str">
        <f>"Hotel- und Kurbetriebe: Logiernächte im Oktober "&amp;$C$3&amp;", nach Destinationen"</f>
        <v>Hotel- und Kurbetriebe: Logiernächte im Oktober 2024, nach Destinationen</v>
      </c>
      <c r="D200" s="116" t="str">
        <f>"Manaschis d' hotel e da cura: pernottaziuns il oktober "&amp;$C$3&amp;", tenor destinaziuns"</f>
        <v>Manaschis d' hotel e da cura: pernottaziuns il oktober 2024, tenor destinaziuns</v>
      </c>
      <c r="E200" s="116" t="str">
        <f>"Alberghi e stabilimenti di cura: pernottamenti nel mese di ottobre "&amp;$C$3&amp;", per destinazione"</f>
        <v>Alberghi e stabilimenti di cura: pernottamenti nel mese di ottobre 2024, per destinazione</v>
      </c>
      <c r="F200" s="90"/>
    </row>
    <row r="201" spans="1:6" ht="38.25" x14ac:dyDescent="0.2">
      <c r="A201" s="89"/>
      <c r="B201" s="116" t="s">
        <v>300</v>
      </c>
      <c r="C201" s="116" t="str">
        <f>"Hotel- und Kurbetriebe: Logiernächte im Oktober "&amp;$C$3&amp;", nach Schweizer Tourismusregionen"</f>
        <v>Hotel- und Kurbetriebe: Logiernächte im Oktober 2024, nach Schweizer Tourismusregionen</v>
      </c>
      <c r="D201" s="116" t="str">
        <f>"Manaschis d' hotel e da cura: pernottaziuns il oktober "&amp;$C$3&amp;", tenor regiuns turisticas svizras"</f>
        <v>Manaschis d' hotel e da cura: pernottaziuns il oktober 2024, tenor regiuns turisticas svizras</v>
      </c>
      <c r="E201" s="116" t="str">
        <f>"Alberghi e stabilimenti di cura: pernottamenti nel mese di ottobre "&amp;$C$3&amp;", per regioni turistiche svizzere"</f>
        <v>Alberghi e stabilimenti di cura: pernottamenti nel mese di ottobre 2024, per regioni turistiche svizzere</v>
      </c>
      <c r="F201" s="90"/>
    </row>
    <row r="202" spans="1:6" x14ac:dyDescent="0.2">
      <c r="A202" s="89"/>
      <c r="B202" s="89"/>
      <c r="C202" s="89"/>
      <c r="D202" s="89"/>
      <c r="E202" s="89"/>
      <c r="F202" s="90"/>
    </row>
    <row r="203" spans="1:6" ht="12.75" customHeight="1" x14ac:dyDescent="0.2">
      <c r="A203" s="89"/>
      <c r="B203" s="116" t="s">
        <v>301</v>
      </c>
      <c r="C203" s="116" t="str">
        <f>"Oktober "&amp;$C$3</f>
        <v>Oktober 2024</v>
      </c>
      <c r="D203" s="116" t="str">
        <f>"Oktober "&amp;$C$3</f>
        <v>Oktober 2024</v>
      </c>
      <c r="E203" s="116" t="str">
        <f>"Ottobre "&amp;$C$3</f>
        <v>Ottobre 2024</v>
      </c>
      <c r="F203" s="90"/>
    </row>
    <row r="204" spans="1:6" ht="12.75" customHeight="1" x14ac:dyDescent="0.2">
      <c r="A204" s="89"/>
      <c r="B204" s="116" t="s">
        <v>302</v>
      </c>
      <c r="C204" s="116" t="str">
        <f>"Oktober "&amp;$C$3-1</f>
        <v>Oktober 2023</v>
      </c>
      <c r="D204" s="116" t="str">
        <f>"Oktober "&amp;$C$3-1</f>
        <v>Oktober 2023</v>
      </c>
      <c r="E204" s="116" t="str">
        <f>"Ottobre "&amp;$C$3-1</f>
        <v>Ottobre 2023</v>
      </c>
      <c r="F204" s="90"/>
    </row>
    <row r="205" spans="1:6" ht="12.75" customHeight="1" x14ac:dyDescent="0.2">
      <c r="A205" s="89"/>
      <c r="B205" s="116" t="s">
        <v>303</v>
      </c>
      <c r="C205" s="116" t="str">
        <f>"Januar-Oktober "&amp;$D$3</f>
        <v>Januar-Oktober 24</v>
      </c>
      <c r="D205" s="116" t="str">
        <f>"Schaner-oktober "&amp;$D$3</f>
        <v>Schaner-oktober 24</v>
      </c>
      <c r="E205" s="116" t="str">
        <f>"Gennaio-ottobre "&amp;$D$3</f>
        <v>Gennaio-ottobre 24</v>
      </c>
      <c r="F205" s="90"/>
    </row>
    <row r="206" spans="1:6" ht="12.75" customHeight="1" x14ac:dyDescent="0.2">
      <c r="A206" s="89"/>
      <c r="B206" s="116" t="s">
        <v>304</v>
      </c>
      <c r="C206" s="116" t="str">
        <f>"Januar-Oktober "&amp;$D$3-1</f>
        <v>Januar-Oktober 23</v>
      </c>
      <c r="D206" s="116" t="str">
        <f>"Schaner-oktober "&amp;$D$3-1</f>
        <v>Schaner-oktober 23</v>
      </c>
      <c r="E206" s="116" t="str">
        <f>"Gennaio-ottobre "&amp;$D$3-1</f>
        <v>Gennaio-ottobre 23</v>
      </c>
      <c r="F206" s="90"/>
    </row>
    <row r="207" spans="1:6" ht="12.75" customHeight="1" x14ac:dyDescent="0.2">
      <c r="A207" s="89"/>
      <c r="B207" s="90"/>
      <c r="C207" s="90"/>
      <c r="D207" s="90"/>
      <c r="E207" s="90"/>
      <c r="F207" s="90"/>
    </row>
    <row r="208" spans="1:6" ht="25.5" customHeight="1" x14ac:dyDescent="0.2">
      <c r="A208" s="90"/>
      <c r="B208" s="88" t="s">
        <v>305</v>
      </c>
      <c r="C208" s="88" t="s">
        <v>392</v>
      </c>
      <c r="D208" s="88" t="s">
        <v>393</v>
      </c>
      <c r="E208" s="88" t="s">
        <v>394</v>
      </c>
      <c r="F208" s="90"/>
    </row>
    <row r="209" spans="1:6" ht="12.75" customHeight="1" x14ac:dyDescent="0.2">
      <c r="A209" s="90"/>
      <c r="B209" s="90"/>
      <c r="C209" s="90"/>
      <c r="D209" s="90"/>
      <c r="E209" s="90"/>
      <c r="F209" s="90"/>
    </row>
    <row r="210" spans="1:6" ht="12.75" customHeight="1" x14ac:dyDescent="0.2">
      <c r="A210" s="90"/>
      <c r="B210" s="88" t="s">
        <v>306</v>
      </c>
      <c r="C210" s="94" t="s">
        <v>389</v>
      </c>
      <c r="D210" s="94" t="s">
        <v>390</v>
      </c>
      <c r="E210" s="94" t="s">
        <v>391</v>
      </c>
      <c r="F210" s="90"/>
    </row>
    <row r="211" spans="1:6" s="109" customFormat="1" ht="13.5" thickBot="1" x14ac:dyDescent="0.25">
      <c r="A211" s="108"/>
      <c r="B211" s="108"/>
      <c r="C211" s="108"/>
      <c r="D211" s="108"/>
      <c r="E211" s="108"/>
      <c r="F211" s="108"/>
    </row>
    <row r="212" spans="1:6" x14ac:dyDescent="0.2">
      <c r="A212" s="89"/>
      <c r="B212" s="92"/>
      <c r="C212" s="92"/>
      <c r="D212" s="90"/>
      <c r="E212" s="90"/>
      <c r="F212" s="90"/>
    </row>
    <row r="213" spans="1:6" ht="25.5" x14ac:dyDescent="0.2">
      <c r="A213" s="89" t="s">
        <v>307</v>
      </c>
      <c r="B213" s="116" t="s">
        <v>308</v>
      </c>
      <c r="C213" s="116" t="str">
        <f>"Hotel- und Kurbetriebe: Logiernächte im November "&amp;$C$3&amp;", nach Herkunft"</f>
        <v>Hotel- und Kurbetriebe: Logiernächte im November 2024, nach Herkunft</v>
      </c>
      <c r="D213" s="116" t="str">
        <f>"Manaschis d' hotel e da cura: pernottaziuns il november "&amp;$C$3&amp;", tenor la derivanza"</f>
        <v>Manaschis d' hotel e da cura: pernottaziuns il november 2024, tenor la derivanza</v>
      </c>
      <c r="E213" s="116" t="str">
        <f>"Alberghi e stabilimenti di cura: pernottamenti nel mese di novembre "&amp;$C$3&amp;", per provenienza"</f>
        <v>Alberghi e stabilimenti di cura: pernottamenti nel mese di novembre 2024, per provenienza</v>
      </c>
      <c r="F213" s="90"/>
    </row>
    <row r="214" spans="1:6" ht="25.5" x14ac:dyDescent="0.2">
      <c r="A214" s="89"/>
      <c r="B214" s="116" t="s">
        <v>309</v>
      </c>
      <c r="C214" s="116" t="str">
        <f>"Hotel- und Kurbetriebe: Logiernächte im November "&amp;$C$3&amp;", nach Destinationen"</f>
        <v>Hotel- und Kurbetriebe: Logiernächte im November 2024, nach Destinationen</v>
      </c>
      <c r="D214" s="116" t="str">
        <f>"Manaschis d' hotel e da cura: pernottaziuns il november "&amp;$C$3&amp;", tenor destinaziuns"</f>
        <v>Manaschis d' hotel e da cura: pernottaziuns il november 2024, tenor destinaziuns</v>
      </c>
      <c r="E214" s="116" t="str">
        <f>"Alberghi e stabilimenti di cura: pernottamenti nel mese di novembre "&amp;$C$3&amp;", per destinazione"</f>
        <v>Alberghi e stabilimenti di cura: pernottamenti nel mese di novembre 2024, per destinazione</v>
      </c>
      <c r="F214" s="90"/>
    </row>
    <row r="215" spans="1:6" ht="38.25" x14ac:dyDescent="0.2">
      <c r="A215" s="89"/>
      <c r="B215" s="116" t="s">
        <v>310</v>
      </c>
      <c r="C215" s="116" t="str">
        <f>"Hotel- und Kurbetriebe: Logiernächte im November "&amp;$C$3&amp;", nach Schweizer Tourismusregionen"</f>
        <v>Hotel- und Kurbetriebe: Logiernächte im November 2024, nach Schweizer Tourismusregionen</v>
      </c>
      <c r="D215" s="116" t="str">
        <f>"Manaschis d' hotel e da cura: pernottaziuns il november "&amp;$C$3&amp;", tenor regiuns turisticas svizras"</f>
        <v>Manaschis d' hotel e da cura: pernottaziuns il november 2024, tenor regiuns turisticas svizras</v>
      </c>
      <c r="E215" s="116" t="str">
        <f>"Alberghi e stabilimenti di cura: pernottamenti nel mese di novembre "&amp;$C$3&amp;", per regioni turistiche svizzere"</f>
        <v>Alberghi e stabilimenti di cura: pernottamenti nel mese di novembre 2024, per regioni turistiche svizzere</v>
      </c>
      <c r="F215" s="90"/>
    </row>
    <row r="216" spans="1:6" ht="12.75" customHeight="1" x14ac:dyDescent="0.2">
      <c r="A216" s="89"/>
      <c r="B216" s="89"/>
      <c r="C216" s="89"/>
      <c r="D216" s="89"/>
      <c r="E216" s="89"/>
      <c r="F216" s="90"/>
    </row>
    <row r="217" spans="1:6" ht="12.75" customHeight="1" x14ac:dyDescent="0.2">
      <c r="A217" s="89"/>
      <c r="B217" s="116" t="s">
        <v>311</v>
      </c>
      <c r="C217" s="116" t="str">
        <f>"November "&amp;$C$3</f>
        <v>November 2024</v>
      </c>
      <c r="D217" s="116" t="str">
        <f>"November "&amp;$C$3</f>
        <v>November 2024</v>
      </c>
      <c r="E217" s="116" t="str">
        <f>"Novembre "&amp;$C$3</f>
        <v>Novembre 2024</v>
      </c>
      <c r="F217" s="90"/>
    </row>
    <row r="218" spans="1:6" ht="12.75" customHeight="1" x14ac:dyDescent="0.2">
      <c r="A218" s="89"/>
      <c r="B218" s="116" t="s">
        <v>312</v>
      </c>
      <c r="C218" s="116" t="str">
        <f>"November "&amp;$C$3-1</f>
        <v>November 2023</v>
      </c>
      <c r="D218" s="116" t="str">
        <f>"November "&amp;$C$3-1</f>
        <v>November 2023</v>
      </c>
      <c r="E218" s="116" t="str">
        <f>"Novembre "&amp;$C$3-1</f>
        <v>Novembre 2023</v>
      </c>
      <c r="F218" s="90"/>
    </row>
    <row r="219" spans="1:6" ht="12.75" customHeight="1" x14ac:dyDescent="0.2">
      <c r="A219" s="89"/>
      <c r="B219" s="116" t="s">
        <v>313</v>
      </c>
      <c r="C219" s="116" t="str">
        <f>"Januar-November "&amp;$D$3</f>
        <v>Januar-November 24</v>
      </c>
      <c r="D219" s="116" t="str">
        <f>"Schaner-november "&amp;$D$3</f>
        <v>Schaner-november 24</v>
      </c>
      <c r="E219" s="116" t="str">
        <f>"Gennaio-novembre "&amp;$D$3</f>
        <v>Gennaio-novembre 24</v>
      </c>
      <c r="F219" s="90"/>
    </row>
    <row r="220" spans="1:6" ht="12.75" customHeight="1" x14ac:dyDescent="0.2">
      <c r="A220" s="89"/>
      <c r="B220" s="116" t="s">
        <v>314</v>
      </c>
      <c r="C220" s="116" t="str">
        <f>"Januar-November "&amp;$D$3-1</f>
        <v>Januar-November 23</v>
      </c>
      <c r="D220" s="116" t="str">
        <f>"Schaner-november "&amp;$D$3-1</f>
        <v>Schaner-november 23</v>
      </c>
      <c r="E220" s="116" t="str">
        <f>"Gennaio-novembre "&amp;$D$3-1</f>
        <v>Gennaio-novembre 23</v>
      </c>
      <c r="F220" s="90"/>
    </row>
    <row r="221" spans="1:6" ht="12.75" customHeight="1" x14ac:dyDescent="0.2">
      <c r="A221" s="89"/>
      <c r="B221" s="90"/>
      <c r="C221" s="90"/>
      <c r="D221" s="90"/>
      <c r="E221" s="90"/>
      <c r="F221" s="90"/>
    </row>
    <row r="222" spans="1:6" ht="25.5" customHeight="1" x14ac:dyDescent="0.2">
      <c r="A222" s="90"/>
      <c r="B222" s="88" t="s">
        <v>315</v>
      </c>
      <c r="C222" s="88" t="s">
        <v>395</v>
      </c>
      <c r="D222" s="88" t="s">
        <v>396</v>
      </c>
      <c r="E222" s="88" t="s">
        <v>397</v>
      </c>
      <c r="F222" s="90"/>
    </row>
    <row r="223" spans="1:6" ht="12.75" customHeight="1" x14ac:dyDescent="0.2">
      <c r="A223" s="90"/>
      <c r="B223" s="90"/>
      <c r="C223" s="90"/>
      <c r="D223" s="90"/>
      <c r="E223" s="90"/>
      <c r="F223" s="90"/>
    </row>
    <row r="224" spans="1:6" ht="12.75" customHeight="1" x14ac:dyDescent="0.2">
      <c r="A224" s="90"/>
      <c r="B224" s="88" t="s">
        <v>316</v>
      </c>
      <c r="C224" s="94" t="s">
        <v>398</v>
      </c>
      <c r="D224" s="94" t="s">
        <v>399</v>
      </c>
      <c r="E224" s="94" t="s">
        <v>400</v>
      </c>
      <c r="F224" s="90"/>
    </row>
    <row r="225" spans="1:6" s="109" customFormat="1" ht="13.5" thickBot="1" x14ac:dyDescent="0.25">
      <c r="A225" s="108"/>
      <c r="B225" s="108"/>
      <c r="C225" s="108"/>
      <c r="D225" s="108"/>
      <c r="E225" s="108"/>
      <c r="F225" s="108"/>
    </row>
    <row r="226" spans="1:6" x14ac:dyDescent="0.2">
      <c r="A226" s="89"/>
      <c r="B226" s="92"/>
      <c r="C226" s="92"/>
      <c r="D226" s="90"/>
      <c r="E226" s="90"/>
      <c r="F226" s="90"/>
    </row>
    <row r="227" spans="1:6" ht="25.5" x14ac:dyDescent="0.2">
      <c r="A227" s="89" t="s">
        <v>326</v>
      </c>
      <c r="B227" s="116" t="s">
        <v>317</v>
      </c>
      <c r="C227" s="116" t="str">
        <f>"Hotel- und Kurbetriebe: Logiernächte im Dezember "&amp;$C$3&amp;", nach Herkunft"</f>
        <v>Hotel- und Kurbetriebe: Logiernächte im Dezember 2024, nach Herkunft</v>
      </c>
      <c r="D227" s="116" t="str">
        <f>"Manaschis d' hotel e da cura: pernottaziuns il dezember "&amp;$C$3&amp;", tenor la derivanza"</f>
        <v>Manaschis d' hotel e da cura: pernottaziuns il dezember 2024, tenor la derivanza</v>
      </c>
      <c r="E227" s="116" t="str">
        <f>"Alberghi e stabilimenti di cura: pernottamenti nel mese di dicembre "&amp;$C$3&amp;", per provenienza"</f>
        <v>Alberghi e stabilimenti di cura: pernottamenti nel mese di dicembre 2024, per provenienza</v>
      </c>
      <c r="F227" s="90"/>
    </row>
    <row r="228" spans="1:6" ht="25.5" x14ac:dyDescent="0.2">
      <c r="A228" s="89"/>
      <c r="B228" s="116" t="s">
        <v>318</v>
      </c>
      <c r="C228" s="116" t="str">
        <f>"Hotel- und Kurbetriebe: Logiernächte im Dezember "&amp;$C$3&amp;", nach Destinationen"</f>
        <v>Hotel- und Kurbetriebe: Logiernächte im Dezember 2024, nach Destinationen</v>
      </c>
      <c r="D228" s="116" t="str">
        <f>"Manaschis d' hotel e da cura: pernottaziuns il dezember "&amp;$C$3&amp;", tenor destinaziuns"</f>
        <v>Manaschis d' hotel e da cura: pernottaziuns il dezember 2024, tenor destinaziuns</v>
      </c>
      <c r="E228" s="116" t="str">
        <f>"Alberghi e stabilimenti di cura: pernottamenti nel mese di dicembre "&amp;$C$3&amp;", per destinazione"</f>
        <v>Alberghi e stabilimenti di cura: pernottamenti nel mese di dicembre 2024, per destinazione</v>
      </c>
      <c r="F228" s="90"/>
    </row>
    <row r="229" spans="1:6" ht="38.25" x14ac:dyDescent="0.2">
      <c r="A229" s="89"/>
      <c r="B229" s="116" t="s">
        <v>319</v>
      </c>
      <c r="C229" s="116" t="str">
        <f>"Hotel- und Kurbetriebe: Logiernächte im Dezember "&amp;$C$3&amp;", nach Schweizer Tourismusregionen"</f>
        <v>Hotel- und Kurbetriebe: Logiernächte im Dezember 2024, nach Schweizer Tourismusregionen</v>
      </c>
      <c r="D229" s="116" t="str">
        <f>"Manaschis d' hotel e da cura: pernottaziuns il dezember "&amp;$C$3&amp;", tenor regiuns turisticas svizras"</f>
        <v>Manaschis d' hotel e da cura: pernottaziuns il dezember 2024, tenor regiuns turisticas svizras</v>
      </c>
      <c r="E229" s="116" t="str">
        <f>"Alberghi e stabilimenti di cura: pernottamenti nel mese di dicembre "&amp;$C$3&amp;", per regioni turistiche svizzere"</f>
        <v>Alberghi e stabilimenti di cura: pernottamenti nel mese di dicembre 2024, per regioni turistiche svizzere</v>
      </c>
      <c r="F229" s="90"/>
    </row>
    <row r="230" spans="1:6" ht="12.75" customHeight="1" x14ac:dyDescent="0.2">
      <c r="A230" s="89"/>
      <c r="B230" s="89"/>
      <c r="C230" s="89"/>
      <c r="D230" s="89"/>
      <c r="E230" s="89"/>
      <c r="F230" s="90"/>
    </row>
    <row r="231" spans="1:6" ht="12.75" customHeight="1" x14ac:dyDescent="0.2">
      <c r="A231" s="89"/>
      <c r="B231" s="116" t="s">
        <v>320</v>
      </c>
      <c r="C231" s="116" t="str">
        <f>"Dezember "&amp;$C$3</f>
        <v>Dezember 2024</v>
      </c>
      <c r="D231" s="116" t="str">
        <f>"Dezember "&amp;$C$3</f>
        <v>Dezember 2024</v>
      </c>
      <c r="E231" s="116" t="str">
        <f>"Dicembre "&amp;$C$3</f>
        <v>Dicembre 2024</v>
      </c>
      <c r="F231" s="90"/>
    </row>
    <row r="232" spans="1:6" ht="12.75" customHeight="1" x14ac:dyDescent="0.2">
      <c r="A232" s="89"/>
      <c r="B232" s="116" t="s">
        <v>321</v>
      </c>
      <c r="C232" s="116" t="str">
        <f>"Dezember "&amp;$C$3-1</f>
        <v>Dezember 2023</v>
      </c>
      <c r="D232" s="116" t="str">
        <f>"Dezember "&amp;$C$3-1</f>
        <v>Dezember 2023</v>
      </c>
      <c r="E232" s="116" t="str">
        <f>"Dicembre "&amp;$C$3-1</f>
        <v>Dicembre 2023</v>
      </c>
      <c r="F232" s="90"/>
    </row>
    <row r="233" spans="1:6" ht="12.75" customHeight="1" x14ac:dyDescent="0.2">
      <c r="A233" s="89"/>
      <c r="B233" s="116" t="s">
        <v>322</v>
      </c>
      <c r="C233" s="116" t="str">
        <f>"Januar-Dezember "&amp;$D$3</f>
        <v>Januar-Dezember 24</v>
      </c>
      <c r="D233" s="116" t="str">
        <f>"Schaner-dezember "&amp;$D$3</f>
        <v>Schaner-dezember 24</v>
      </c>
      <c r="E233" s="116" t="str">
        <f>"Gennaio-dicembre "&amp;$D$3</f>
        <v>Gennaio-dicembre 24</v>
      </c>
      <c r="F233" s="90"/>
    </row>
    <row r="234" spans="1:6" ht="12.75" customHeight="1" x14ac:dyDescent="0.2">
      <c r="A234" s="89"/>
      <c r="B234" s="116" t="s">
        <v>323</v>
      </c>
      <c r="C234" s="116" t="str">
        <f>"Januar-Dezember "&amp;$D$3-1</f>
        <v>Januar-Dezember 23</v>
      </c>
      <c r="D234" s="116" t="str">
        <f>"Schaner-dezember "&amp;$D$3-1</f>
        <v>Schaner-dezember 23</v>
      </c>
      <c r="E234" s="116" t="str">
        <f>"Gennaio-dicembre "&amp;$D$3-1</f>
        <v>Gennaio-dicembre 23</v>
      </c>
      <c r="F234" s="90"/>
    </row>
    <row r="235" spans="1:6" ht="12.75" customHeight="1" x14ac:dyDescent="0.2">
      <c r="A235" s="89"/>
      <c r="B235" s="90"/>
      <c r="C235" s="90"/>
      <c r="D235" s="90"/>
      <c r="E235" s="90"/>
      <c r="F235" s="90"/>
    </row>
    <row r="236" spans="1:6" ht="25.5" customHeight="1" x14ac:dyDescent="0.2">
      <c r="A236" s="90"/>
      <c r="B236" s="88" t="s">
        <v>324</v>
      </c>
      <c r="C236" s="88" t="s">
        <v>401</v>
      </c>
      <c r="D236" s="88" t="s">
        <v>402</v>
      </c>
      <c r="E236" s="88" t="s">
        <v>403</v>
      </c>
      <c r="F236" s="90"/>
    </row>
    <row r="237" spans="1:6" ht="12.75" customHeight="1" x14ac:dyDescent="0.2">
      <c r="A237" s="90"/>
      <c r="B237" s="90"/>
      <c r="C237" s="90"/>
      <c r="D237" s="90"/>
      <c r="E237" s="90"/>
      <c r="F237" s="90"/>
    </row>
    <row r="238" spans="1:6" ht="12.75" customHeight="1" x14ac:dyDescent="0.2">
      <c r="A238" s="90"/>
      <c r="B238" s="88" t="s">
        <v>325</v>
      </c>
      <c r="C238" s="94" t="s">
        <v>404</v>
      </c>
      <c r="D238" s="94" t="s">
        <v>405</v>
      </c>
      <c r="E238" s="94" t="s">
        <v>406</v>
      </c>
      <c r="F238" s="90"/>
    </row>
    <row r="239" spans="1:6" x14ac:dyDescent="0.2">
      <c r="A239" s="90"/>
      <c r="B239" s="90"/>
      <c r="C239" s="90"/>
      <c r="D239" s="90"/>
      <c r="E239" s="90"/>
      <c r="F239" s="90"/>
    </row>
    <row r="240" spans="1:6" x14ac:dyDescent="0.2">
      <c r="A240" s="89"/>
      <c r="B240" s="92"/>
      <c r="C240" s="92"/>
      <c r="D240" s="90"/>
      <c r="E240" s="90"/>
      <c r="F240" s="9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2"/>
  <dimension ref="A1:J90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24" t="str">
        <f>VLOOKUP("&lt;Fachbereich&gt;",Uebersetzungen!$B$4:$E$304,Uebersetzungen!$B$2+1,FALSE)</f>
        <v>Daten &amp; Statistik</v>
      </c>
      <c r="B7" s="124"/>
      <c r="C7" s="124"/>
      <c r="D7" s="124"/>
      <c r="E7" s="95"/>
      <c r="F7" s="1"/>
    </row>
    <row r="8" spans="1:10" ht="10.5" customHeight="1" x14ac:dyDescent="0.2"/>
    <row r="9" spans="1:10" ht="18" x14ac:dyDescent="0.25">
      <c r="A9" s="2" t="str">
        <f>VLOOKUP("&lt;T11Titel1&gt;",Uebersetzungen!$B$4:$E$304,Uebersetzungen!$B$2+1,FALSE)</f>
        <v>Hotel- und Kurbetriebe: Logiernächte im November 2024, nach Herkunft</v>
      </c>
      <c r="B9" s="3"/>
      <c r="C9" s="3"/>
      <c r="D9" s="3"/>
      <c r="E9" s="3"/>
      <c r="F9" s="3"/>
    </row>
    <row r="10" spans="1:10" s="123" customFormat="1" x14ac:dyDescent="0.2">
      <c r="A10" s="120" t="str">
        <f>VLOOKUP("&lt;Titelprov&gt;",Uebersetzungen!$B$4:$E$304,Uebersetzungen!$B$2+1,FALSE)</f>
        <v>definitive Ergebnisse</v>
      </c>
      <c r="B10" s="121"/>
      <c r="C10" s="122"/>
      <c r="D10" s="122"/>
      <c r="E10" s="122"/>
      <c r="F10" s="122"/>
      <c r="G10" s="122"/>
    </row>
    <row r="11" spans="1:10" ht="13.5" thickBot="1" x14ac:dyDescent="0.25"/>
    <row r="12" spans="1:10" ht="51" x14ac:dyDescent="0.2">
      <c r="A12" s="8"/>
      <c r="B12" s="9"/>
      <c r="C12" s="20" t="str">
        <f>VLOOKUP("&lt;T11SpaltenTitel_1&gt;",Uebersetzungen!$B$4:$E$304,Uebersetzungen!$B$2+1,FALSE)</f>
        <v>November 2024</v>
      </c>
      <c r="D12" s="21" t="str">
        <f>VLOOKUP("&lt;T11SpaltenTitel_2&gt;",Uebersetzungen!$B$4:$E$304,Uebersetzungen!$B$2+1,FALSE)</f>
        <v>November 2023</v>
      </c>
      <c r="E12" s="22" t="str">
        <f>VLOOKUP("&lt;SpaltenTitel_3&gt;",Uebersetzungen!$B$4:$E$304,Uebersetzungen!$B$2+1,FALSE)</f>
        <v>Veränderung 24/23 in %</v>
      </c>
      <c r="F12" s="22" t="str">
        <f>VLOOKUP("&lt;SpaltenTitel_4&gt;",Uebersetzungen!$B$4:$E$304,Uebersetzungen!$B$2+1,FALSE)</f>
        <v>Veränderung zum
5-Jahresmittel 
in %</v>
      </c>
      <c r="G12" s="75" t="str">
        <f>VLOOKUP("&lt;T11SpaltenTitel_5&gt;",Uebersetzungen!$B$4:$E$304,Uebersetzungen!$B$2+1,FALSE)</f>
        <v>Januar-November 24</v>
      </c>
      <c r="H12" s="22" t="str">
        <f>VLOOKUP("&lt;T11SpaltenTitel_6&gt;",Uebersetzungen!$B$4:$E$304,Uebersetzungen!$B$2+1,FALSE)</f>
        <v>Januar-November 23</v>
      </c>
      <c r="I12" s="22" t="str">
        <f>VLOOKUP("&lt;SpaltenTitel_7&gt;",Uebersetzungen!$B$4:$E$304,Uebersetzungen!$B$2+1,FALSE)</f>
        <v>Veränderung 24/23 in %</v>
      </c>
      <c r="J12" s="23" t="str">
        <f>VLOOKUP("&lt;SpaltenTitel_8&gt;",Uebersetzungen!$B$4:$E$304,Uebersetzungen!$B$2+1,FALSE)</f>
        <v>Veränderung zum
5-Jahresmittel 
in %</v>
      </c>
    </row>
    <row r="13" spans="1:10" x14ac:dyDescent="0.2">
      <c r="A13" s="24" t="str">
        <f>VLOOKUP("&lt;Zeilentitel_1&gt;",Uebersetzungen!$B$4:$E$78,Uebersetzungen!$B$2+1,FALSE)</f>
        <v>Schweiz</v>
      </c>
      <c r="B13" s="5"/>
      <c r="C13" s="51">
        <v>104348</v>
      </c>
      <c r="D13" s="52">
        <v>82169</v>
      </c>
      <c r="E13" s="53">
        <f t="shared" ref="E13:E36" si="0">C13/D13-1</f>
        <v>0.26991931263615232</v>
      </c>
      <c r="F13" s="72">
        <v>0.14991371349353466</v>
      </c>
      <c r="G13" s="76">
        <v>3176302</v>
      </c>
      <c r="H13" s="52">
        <v>3190687</v>
      </c>
      <c r="I13" s="53">
        <f t="shared" ref="I13:I36" si="1">G13/H13-1</f>
        <v>-4.5084334502255574E-3</v>
      </c>
      <c r="J13" s="54">
        <v>-3.6990773150726741E-2</v>
      </c>
    </row>
    <row r="14" spans="1:10" x14ac:dyDescent="0.2">
      <c r="A14" s="24" t="str">
        <f>VLOOKUP("&lt;Zeilentitel_2&gt;",Uebersetzungen!$B$4:$E$78,Uebersetzungen!$B$2+1,FALSE)</f>
        <v>Deutschland</v>
      </c>
      <c r="B14" s="5"/>
      <c r="C14" s="51">
        <v>9181</v>
      </c>
      <c r="D14" s="52">
        <v>9466</v>
      </c>
      <c r="E14" s="53">
        <f t="shared" si="0"/>
        <v>-3.0107754067187797E-2</v>
      </c>
      <c r="F14" s="72">
        <v>0.21438586280786232</v>
      </c>
      <c r="G14" s="76">
        <v>683128</v>
      </c>
      <c r="H14" s="52">
        <v>662079</v>
      </c>
      <c r="I14" s="53">
        <f t="shared" si="1"/>
        <v>3.1792278564944709E-2</v>
      </c>
      <c r="J14" s="54">
        <v>0.12140634449320298</v>
      </c>
    </row>
    <row r="15" spans="1:10" x14ac:dyDescent="0.2">
      <c r="A15" s="24" t="str">
        <f>VLOOKUP("&lt;Zeilentitel_3&gt;",Uebersetzungen!$B$4:$E$78,Uebersetzungen!$B$2+1,FALSE)</f>
        <v>Italien</v>
      </c>
      <c r="B15" s="5"/>
      <c r="C15" s="51">
        <v>4410</v>
      </c>
      <c r="D15" s="52">
        <v>3398</v>
      </c>
      <c r="E15" s="53">
        <f t="shared" si="0"/>
        <v>0.29782224838140081</v>
      </c>
      <c r="F15" s="72">
        <v>0.6562758206264554</v>
      </c>
      <c r="G15" s="76">
        <v>89871</v>
      </c>
      <c r="H15" s="52">
        <v>84006</v>
      </c>
      <c r="I15" s="53">
        <f t="shared" si="1"/>
        <v>6.9816441682736929E-2</v>
      </c>
      <c r="J15" s="54">
        <v>0.25276352069051033</v>
      </c>
    </row>
    <row r="16" spans="1:10" x14ac:dyDescent="0.2">
      <c r="A16" s="24" t="str">
        <f>VLOOKUP("&lt;Zeilentitel_4&gt;",Uebersetzungen!$B$4:$E$78,Uebersetzungen!$B$2+1,FALSE)</f>
        <v>Frankreich</v>
      </c>
      <c r="B16" s="5"/>
      <c r="C16" s="51">
        <v>983</v>
      </c>
      <c r="D16" s="52">
        <v>927</v>
      </c>
      <c r="E16" s="53">
        <f t="shared" si="0"/>
        <v>6.0409924487594413E-2</v>
      </c>
      <c r="F16" s="72">
        <v>0.26414609053497928</v>
      </c>
      <c r="G16" s="76">
        <v>57276</v>
      </c>
      <c r="H16" s="52">
        <v>49225</v>
      </c>
      <c r="I16" s="53">
        <f t="shared" si="1"/>
        <v>0.16355510411376328</v>
      </c>
      <c r="J16" s="54">
        <v>0.284088565253652</v>
      </c>
    </row>
    <row r="17" spans="1:10" x14ac:dyDescent="0.2">
      <c r="A17" s="24" t="str">
        <f>VLOOKUP("&lt;Zeilentitel_5&gt;",Uebersetzungen!$B$4:$E$78,Uebersetzungen!$B$2+1,FALSE)</f>
        <v>Österreich</v>
      </c>
      <c r="B17" s="5"/>
      <c r="C17" s="51">
        <v>812</v>
      </c>
      <c r="D17" s="52">
        <v>759</v>
      </c>
      <c r="E17" s="53">
        <f t="shared" si="0"/>
        <v>6.9828722002635013E-2</v>
      </c>
      <c r="F17" s="72">
        <v>-0.20314033366045148</v>
      </c>
      <c r="G17" s="76">
        <v>46440</v>
      </c>
      <c r="H17" s="52">
        <v>42375</v>
      </c>
      <c r="I17" s="53">
        <f t="shared" si="1"/>
        <v>9.5929203539822927E-2</v>
      </c>
      <c r="J17" s="54">
        <v>0.22936498692277563</v>
      </c>
    </row>
    <row r="18" spans="1:10" x14ac:dyDescent="0.2">
      <c r="A18" s="24" t="str">
        <f>VLOOKUP("&lt;Zeilentitel_6&gt;",Uebersetzungen!$B$4:$E$78,Uebersetzungen!$B$2+1,FALSE)</f>
        <v>Niederlande</v>
      </c>
      <c r="B18" s="5"/>
      <c r="C18" s="51">
        <v>779</v>
      </c>
      <c r="D18" s="52">
        <v>347</v>
      </c>
      <c r="E18" s="53">
        <f t="shared" si="0"/>
        <v>1.244956772334294</v>
      </c>
      <c r="F18" s="72">
        <v>1.2397929844738353</v>
      </c>
      <c r="G18" s="76">
        <v>94512</v>
      </c>
      <c r="H18" s="52">
        <v>91723</v>
      </c>
      <c r="I18" s="53">
        <f t="shared" si="1"/>
        <v>3.0406768204267243E-2</v>
      </c>
      <c r="J18" s="54">
        <v>0.24506319375466012</v>
      </c>
    </row>
    <row r="19" spans="1:10" x14ac:dyDescent="0.2">
      <c r="A19" s="24" t="str">
        <f>VLOOKUP("&lt;Zeilentitel_7&gt;",Uebersetzungen!$B$4:$E$78,Uebersetzungen!$B$2+1,FALSE)</f>
        <v>Belgien</v>
      </c>
      <c r="B19" s="5"/>
      <c r="C19" s="51">
        <v>321</v>
      </c>
      <c r="D19" s="52">
        <v>726</v>
      </c>
      <c r="E19" s="53">
        <f t="shared" si="0"/>
        <v>-0.55785123966942152</v>
      </c>
      <c r="F19" s="72">
        <v>-0.48901623686723972</v>
      </c>
      <c r="G19" s="76">
        <v>97602</v>
      </c>
      <c r="H19" s="52">
        <v>131622</v>
      </c>
      <c r="I19" s="53">
        <f t="shared" si="1"/>
        <v>-0.25846742945708168</v>
      </c>
      <c r="J19" s="54">
        <v>-0.13210110814901221</v>
      </c>
    </row>
    <row r="20" spans="1:10" x14ac:dyDescent="0.2">
      <c r="A20" s="24" t="str">
        <f>VLOOKUP("&lt;Zeilentitel_8&gt;",Uebersetzungen!$B$4:$E$78,Uebersetzungen!$B$2+1,FALSE)</f>
        <v>Luxemburg</v>
      </c>
      <c r="B20" s="5"/>
      <c r="C20" s="51">
        <v>68</v>
      </c>
      <c r="D20" s="52">
        <v>94</v>
      </c>
      <c r="E20" s="53">
        <f t="shared" si="0"/>
        <v>-0.27659574468085102</v>
      </c>
      <c r="F20" s="72">
        <v>-0.19239904988123513</v>
      </c>
      <c r="G20" s="76">
        <v>12985</v>
      </c>
      <c r="H20" s="52">
        <v>12860</v>
      </c>
      <c r="I20" s="53">
        <f t="shared" si="1"/>
        <v>9.7200622083981614E-3</v>
      </c>
      <c r="J20" s="54">
        <v>5.804800938676391E-2</v>
      </c>
    </row>
    <row r="21" spans="1:10" x14ac:dyDescent="0.2">
      <c r="A21" s="24" t="str">
        <f>VLOOKUP("&lt;Zeilentitel_9&gt;",Uebersetzungen!$B$4:$E$78,Uebersetzungen!$B$2+1,FALSE)</f>
        <v>Vereinigtes Königreich</v>
      </c>
      <c r="B21" s="5"/>
      <c r="C21" s="51">
        <v>1179</v>
      </c>
      <c r="D21" s="52">
        <v>943</v>
      </c>
      <c r="E21" s="53">
        <f t="shared" si="0"/>
        <v>0.25026511134676555</v>
      </c>
      <c r="F21" s="72">
        <v>0.7445989937851436</v>
      </c>
      <c r="G21" s="76">
        <v>144161</v>
      </c>
      <c r="H21" s="52">
        <v>136296</v>
      </c>
      <c r="I21" s="53">
        <f t="shared" si="1"/>
        <v>5.7705288489757534E-2</v>
      </c>
      <c r="J21" s="54">
        <v>0.43280683480694582</v>
      </c>
    </row>
    <row r="22" spans="1:10" x14ac:dyDescent="0.2">
      <c r="A22" s="24" t="str">
        <f>VLOOKUP("&lt;Zeilentitel_10&gt;",Uebersetzungen!$B$4:$E$78,Uebersetzungen!$B$2+1,FALSE)</f>
        <v>Vereinigte Staaten</v>
      </c>
      <c r="B22" s="5"/>
      <c r="C22" s="51">
        <v>2000</v>
      </c>
      <c r="D22" s="52">
        <v>1300</v>
      </c>
      <c r="E22" s="53">
        <f t="shared" si="0"/>
        <v>0.53846153846153855</v>
      </c>
      <c r="F22" s="72">
        <v>1.2925263640531868</v>
      </c>
      <c r="G22" s="76">
        <v>134258</v>
      </c>
      <c r="H22" s="52">
        <v>116836</v>
      </c>
      <c r="I22" s="53">
        <f t="shared" si="1"/>
        <v>0.14911499880173928</v>
      </c>
      <c r="J22" s="54">
        <v>0.79578133568743858</v>
      </c>
    </row>
    <row r="23" spans="1:10" x14ac:dyDescent="0.2">
      <c r="A23" s="24" t="str">
        <f>VLOOKUP("&lt;Zeilentitel_11&gt;",Uebersetzungen!$B$4:$E$78,Uebersetzungen!$B$2+1,FALSE)</f>
        <v>Polen</v>
      </c>
      <c r="B23" s="5"/>
      <c r="C23" s="51">
        <v>339</v>
      </c>
      <c r="D23" s="52">
        <v>726</v>
      </c>
      <c r="E23" s="53">
        <f t="shared" si="0"/>
        <v>-0.53305785123966942</v>
      </c>
      <c r="F23" s="72">
        <v>-0.13652572592969947</v>
      </c>
      <c r="G23" s="76">
        <v>27280</v>
      </c>
      <c r="H23" s="52">
        <v>25191</v>
      </c>
      <c r="I23" s="53">
        <f t="shared" si="1"/>
        <v>8.2926441983248056E-2</v>
      </c>
      <c r="J23" s="54">
        <v>-0.26247945323989974</v>
      </c>
    </row>
    <row r="24" spans="1:10" x14ac:dyDescent="0.2">
      <c r="A24" s="24" t="str">
        <f>VLOOKUP("&lt;Zeilentitel_12&gt;",Uebersetzungen!$B$4:$E$78,Uebersetzungen!$B$2+1,FALSE)</f>
        <v>Tschechien</v>
      </c>
      <c r="B24" s="5"/>
      <c r="C24" s="51">
        <v>237</v>
      </c>
      <c r="D24" s="52">
        <v>289</v>
      </c>
      <c r="E24" s="53">
        <f t="shared" si="0"/>
        <v>-0.17993079584775085</v>
      </c>
      <c r="F24" s="72">
        <v>-6.6193853427896077E-2</v>
      </c>
      <c r="G24" s="76">
        <v>19920</v>
      </c>
      <c r="H24" s="52">
        <v>19519</v>
      </c>
      <c r="I24" s="53">
        <f t="shared" si="1"/>
        <v>2.0544085250268962E-2</v>
      </c>
      <c r="J24" s="54">
        <v>0.28322403597150103</v>
      </c>
    </row>
    <row r="25" spans="1:10" x14ac:dyDescent="0.2">
      <c r="A25" s="24" t="str">
        <f>VLOOKUP("&lt;Zeilentitel_13&gt;",Uebersetzungen!$B$4:$E$78,Uebersetzungen!$B$2+1,FALSE)</f>
        <v>Russland</v>
      </c>
      <c r="B25" s="5"/>
      <c r="C25" s="51">
        <v>59</v>
      </c>
      <c r="D25" s="52">
        <v>42</v>
      </c>
      <c r="E25" s="53">
        <f t="shared" si="0"/>
        <v>0.40476190476190466</v>
      </c>
      <c r="F25" s="72">
        <v>-0.73801065719360559</v>
      </c>
      <c r="G25" s="76">
        <v>7388</v>
      </c>
      <c r="H25" s="52">
        <v>7623</v>
      </c>
      <c r="I25" s="53">
        <f t="shared" si="1"/>
        <v>-3.0827758100485325E-2</v>
      </c>
      <c r="J25" s="54">
        <v>-0.55094697430162176</v>
      </c>
    </row>
    <row r="26" spans="1:10" x14ac:dyDescent="0.2">
      <c r="A26" s="24" t="str">
        <f>VLOOKUP("&lt;Zeilentitel_14&gt;",Uebersetzungen!$B$4:$E$78,Uebersetzungen!$B$2+1,FALSE)</f>
        <v>Schweden</v>
      </c>
      <c r="B26" s="5"/>
      <c r="C26" s="51">
        <v>183</v>
      </c>
      <c r="D26" s="52">
        <v>153</v>
      </c>
      <c r="E26" s="53">
        <f t="shared" si="0"/>
        <v>0.19607843137254899</v>
      </c>
      <c r="F26" s="72">
        <v>-0.12188099808061426</v>
      </c>
      <c r="G26" s="76">
        <v>14577</v>
      </c>
      <c r="H26" s="52">
        <v>15357</v>
      </c>
      <c r="I26" s="53">
        <f t="shared" si="1"/>
        <v>-5.0791170150420006E-2</v>
      </c>
      <c r="J26" s="54">
        <v>0.12849533954727033</v>
      </c>
    </row>
    <row r="27" spans="1:10" x14ac:dyDescent="0.2">
      <c r="A27" s="24" t="str">
        <f>VLOOKUP("&lt;Zeilentitel_15&gt;",Uebersetzungen!$B$4:$E$78,Uebersetzungen!$B$2+1,FALSE)</f>
        <v>Norwegen</v>
      </c>
      <c r="B27" s="5"/>
      <c r="C27" s="51">
        <v>36</v>
      </c>
      <c r="D27" s="52">
        <v>51</v>
      </c>
      <c r="E27" s="53">
        <f t="shared" si="0"/>
        <v>-0.29411764705882348</v>
      </c>
      <c r="F27" s="72">
        <v>-0.79238754325259519</v>
      </c>
      <c r="G27" s="76">
        <v>6510</v>
      </c>
      <c r="H27" s="52">
        <v>7676</v>
      </c>
      <c r="I27" s="53">
        <f t="shared" si="1"/>
        <v>-0.15190203230849397</v>
      </c>
      <c r="J27" s="54">
        <v>8.2006448824917921E-2</v>
      </c>
    </row>
    <row r="28" spans="1:10" x14ac:dyDescent="0.2">
      <c r="A28" s="24" t="str">
        <f>VLOOKUP("&lt;Zeilentitel_16&gt;",Uebersetzungen!$B$4:$E$78,Uebersetzungen!$B$2+1,FALSE)</f>
        <v>Dänemark</v>
      </c>
      <c r="B28" s="5"/>
      <c r="C28" s="51">
        <v>47</v>
      </c>
      <c r="D28" s="52">
        <v>101</v>
      </c>
      <c r="E28" s="53">
        <f t="shared" si="0"/>
        <v>-0.53465346534653468</v>
      </c>
      <c r="F28" s="72">
        <v>-0.47072072072072069</v>
      </c>
      <c r="G28" s="76">
        <v>14215</v>
      </c>
      <c r="H28" s="52">
        <v>12383</v>
      </c>
      <c r="I28" s="53">
        <f t="shared" si="1"/>
        <v>0.14794476298150694</v>
      </c>
      <c r="J28" s="54">
        <v>0.27497937071718148</v>
      </c>
    </row>
    <row r="29" spans="1:10" x14ac:dyDescent="0.2">
      <c r="A29" s="24" t="str">
        <f>VLOOKUP("&lt;Zeilentitel_17&gt;",Uebersetzungen!$B$4:$E$78,Uebersetzungen!$B$2+1,FALSE)</f>
        <v>Finnland</v>
      </c>
      <c r="B29" s="5"/>
      <c r="C29" s="51">
        <v>64</v>
      </c>
      <c r="D29" s="52">
        <v>34</v>
      </c>
      <c r="E29" s="53">
        <f t="shared" si="0"/>
        <v>0.88235294117647056</v>
      </c>
      <c r="F29" s="72">
        <v>-0.10863509749303613</v>
      </c>
      <c r="G29" s="76">
        <v>6066</v>
      </c>
      <c r="H29" s="52">
        <v>7560</v>
      </c>
      <c r="I29" s="53">
        <f t="shared" si="1"/>
        <v>-0.19761904761904758</v>
      </c>
      <c r="J29" s="54">
        <v>9.0026954177897522E-2</v>
      </c>
    </row>
    <row r="30" spans="1:10" x14ac:dyDescent="0.2">
      <c r="A30" s="24" t="str">
        <f>VLOOKUP("&lt;Zeilentitel_18&gt;",Uebersetzungen!$B$4:$E$78,Uebersetzungen!$B$2+1,FALSE)</f>
        <v>Japan</v>
      </c>
      <c r="B30" s="5"/>
      <c r="C30" s="51">
        <v>218</v>
      </c>
      <c r="D30" s="52">
        <v>162</v>
      </c>
      <c r="E30" s="53">
        <f t="shared" si="0"/>
        <v>0.34567901234567899</v>
      </c>
      <c r="F30" s="72">
        <v>0.52661064425770299</v>
      </c>
      <c r="G30" s="76">
        <v>16213</v>
      </c>
      <c r="H30" s="52">
        <v>15008</v>
      </c>
      <c r="I30" s="53">
        <f t="shared" si="1"/>
        <v>8.0290511727078906E-2</v>
      </c>
      <c r="J30" s="54">
        <v>0.40887050522254476</v>
      </c>
    </row>
    <row r="31" spans="1:10" x14ac:dyDescent="0.2">
      <c r="A31" s="24" t="str">
        <f>VLOOKUP("&lt;Zeilentitel_19&gt;",Uebersetzungen!$B$4:$E$78,Uebersetzungen!$B$2+1,FALSE)</f>
        <v>China / Hongkong / Taiwan (Chin. Taipei)</v>
      </c>
      <c r="B31" s="5"/>
      <c r="C31" s="51">
        <v>757</v>
      </c>
      <c r="D31" s="52">
        <v>690</v>
      </c>
      <c r="E31" s="53">
        <f t="shared" si="0"/>
        <v>9.710144927536235E-2</v>
      </c>
      <c r="F31" s="72">
        <v>1.3925410872313528</v>
      </c>
      <c r="G31" s="76">
        <v>37930</v>
      </c>
      <c r="H31" s="52">
        <v>29446</v>
      </c>
      <c r="I31" s="53">
        <f t="shared" si="1"/>
        <v>0.28812062758948587</v>
      </c>
      <c r="J31" s="54">
        <v>0.89706912073622047</v>
      </c>
    </row>
    <row r="32" spans="1:10" x14ac:dyDescent="0.2">
      <c r="A32" s="24" t="str">
        <f>VLOOKUP("&lt;Zeilentitel_20&gt;",Uebersetzungen!$B$4:$E$78,Uebersetzungen!$B$2+1,FALSE)</f>
        <v xml:space="preserve">Indien </v>
      </c>
      <c r="B32" s="5"/>
      <c r="C32" s="59">
        <v>142</v>
      </c>
      <c r="D32" s="52">
        <v>97</v>
      </c>
      <c r="E32" s="53">
        <f t="shared" si="0"/>
        <v>0.46391752577319578</v>
      </c>
      <c r="F32" s="72">
        <v>0.54684095860566462</v>
      </c>
      <c r="G32" s="77">
        <v>11793</v>
      </c>
      <c r="H32" s="52">
        <v>10553</v>
      </c>
      <c r="I32" s="53">
        <f t="shared" si="1"/>
        <v>0.11750213209513882</v>
      </c>
      <c r="J32" s="54">
        <v>0.61446211976015097</v>
      </c>
    </row>
    <row r="33" spans="1:10" x14ac:dyDescent="0.2">
      <c r="A33" s="24" t="str">
        <f>VLOOKUP("&lt;Zeilentitel_21&gt;",Uebersetzungen!$B$4:$E$78,Uebersetzungen!$B$2+1,FALSE)</f>
        <v>Brasilien</v>
      </c>
      <c r="B33" s="5"/>
      <c r="C33" s="51">
        <v>869</v>
      </c>
      <c r="D33" s="52">
        <v>399</v>
      </c>
      <c r="E33" s="53">
        <f t="shared" si="0"/>
        <v>1.1779448621553885</v>
      </c>
      <c r="F33" s="72">
        <v>2.4375</v>
      </c>
      <c r="G33" s="76">
        <v>25860</v>
      </c>
      <c r="H33" s="52">
        <v>18578</v>
      </c>
      <c r="I33" s="53">
        <f t="shared" si="1"/>
        <v>0.39196899558617715</v>
      </c>
      <c r="J33" s="54">
        <v>0.98611409787717741</v>
      </c>
    </row>
    <row r="34" spans="1:10" x14ac:dyDescent="0.2">
      <c r="A34" s="24" t="str">
        <f>VLOOKUP("&lt;Zeilentitel_22&gt;",Uebersetzungen!$B$4:$E$78,Uebersetzungen!$B$2+1,FALSE)</f>
        <v>Golfstaaten</v>
      </c>
      <c r="B34" s="5"/>
      <c r="C34" s="59">
        <v>286</v>
      </c>
      <c r="D34" s="55">
        <v>255</v>
      </c>
      <c r="E34" s="53">
        <f t="shared" si="0"/>
        <v>0.1215686274509804</v>
      </c>
      <c r="F34" s="72">
        <v>1.0845481049562684</v>
      </c>
      <c r="G34" s="77">
        <v>25577</v>
      </c>
      <c r="H34" s="55">
        <v>20123</v>
      </c>
      <c r="I34" s="53">
        <f t="shared" si="1"/>
        <v>0.27103314615117036</v>
      </c>
      <c r="J34" s="54">
        <v>0.95375519432901479</v>
      </c>
    </row>
    <row r="35" spans="1:10" x14ac:dyDescent="0.2">
      <c r="A35" s="24" t="str">
        <f>VLOOKUP("&lt;Zeilentitel_23&gt;",Uebersetzungen!$B$4:$E$78,Uebersetzungen!$B$2+1,FALSE)</f>
        <v>Übrige Herkunftsländer</v>
      </c>
      <c r="B35" s="5"/>
      <c r="C35" s="56">
        <f>C36-SUM(C13:C34)</f>
        <v>5076</v>
      </c>
      <c r="D35" s="57">
        <f>D36-SUM(D13:D34)</f>
        <v>4627</v>
      </c>
      <c r="E35" s="53">
        <f t="shared" si="0"/>
        <v>9.7039118219148568E-2</v>
      </c>
      <c r="F35" s="73" t="s">
        <v>50</v>
      </c>
      <c r="G35" s="78">
        <f>G36-SUM(G13:G34)</f>
        <v>215823</v>
      </c>
      <c r="H35" s="57">
        <f>H36-SUM(H13:H34)</f>
        <v>194729</v>
      </c>
      <c r="I35" s="53">
        <f t="shared" si="1"/>
        <v>0.10832490281365392</v>
      </c>
      <c r="J35" s="58" t="s">
        <v>50</v>
      </c>
    </row>
    <row r="36" spans="1:10" ht="13.5" thickBot="1" x14ac:dyDescent="0.25">
      <c r="A36" s="26" t="str">
        <f>VLOOKUP("&lt;Zeilentitel_24&gt;",Uebersetzungen!$B$4:$E$78,Uebersetzungen!$B$2+1,FALSE)</f>
        <v>Graubünden</v>
      </c>
      <c r="B36" s="25"/>
      <c r="C36" s="30">
        <f>C61</f>
        <v>132394</v>
      </c>
      <c r="D36" s="19">
        <f>D61</f>
        <v>107755</v>
      </c>
      <c r="E36" s="12">
        <f t="shared" si="0"/>
        <v>0.22865760289545722</v>
      </c>
      <c r="F36" s="74">
        <f>F61</f>
        <v>0.19520667901649169</v>
      </c>
      <c r="G36" s="79">
        <f t="shared" ref="G36:H36" si="2">G61</f>
        <v>4965687</v>
      </c>
      <c r="H36" s="19">
        <f t="shared" si="2"/>
        <v>4901455</v>
      </c>
      <c r="I36" s="12">
        <f t="shared" si="1"/>
        <v>1.310468014089694E-2</v>
      </c>
      <c r="J36" s="47">
        <f>J61</f>
        <v>4.7233459121746479E-2</v>
      </c>
    </row>
    <row r="37" spans="1:10" x14ac:dyDescent="0.2">
      <c r="C37" s="15"/>
      <c r="D37" s="16"/>
      <c r="E37" s="28"/>
      <c r="F37" s="27"/>
      <c r="I37" s="15"/>
      <c r="J37" s="15"/>
    </row>
    <row r="38" spans="1:10" x14ac:dyDescent="0.2">
      <c r="C38" s="15"/>
    </row>
    <row r="39" spans="1:10" ht="18" x14ac:dyDescent="0.25">
      <c r="A39" s="2" t="str">
        <f>VLOOKUP("&lt;T11Titel2&gt;",Uebersetzungen!$B$4:$E$304,Uebersetzungen!$B$2+1,FALSE)</f>
        <v>Hotel- und Kurbetriebe: Logiernächte im November 2024, nach Destinationen</v>
      </c>
      <c r="B39" s="3"/>
      <c r="C39" s="3"/>
      <c r="D39" s="3"/>
      <c r="E39" s="3"/>
      <c r="F39" s="3"/>
    </row>
    <row r="40" spans="1:10" s="123" customFormat="1" x14ac:dyDescent="0.2">
      <c r="A40" s="120" t="str">
        <f>VLOOKUP("&lt;Titelprov&gt;",Uebersetzungen!$B$4:$E$304,Uebersetzungen!$B$2+1,FALSE)</f>
        <v>definitive Ergebnisse</v>
      </c>
      <c r="B40" s="121"/>
      <c r="C40" s="122"/>
      <c r="D40" s="122"/>
      <c r="E40" s="122"/>
      <c r="F40" s="122"/>
      <c r="G40" s="122"/>
    </row>
    <row r="41" spans="1:10" ht="13.5" thickBot="1" x14ac:dyDescent="0.25"/>
    <row r="42" spans="1:10" ht="51" x14ac:dyDescent="0.2">
      <c r="A42" s="8"/>
      <c r="B42" s="9"/>
      <c r="C42" s="20" t="str">
        <f>VLOOKUP("&lt;T11SpaltenTitel_1&gt;",Uebersetzungen!$B$4:$E$304,Uebersetzungen!$B$2+1,FALSE)</f>
        <v>November 2024</v>
      </c>
      <c r="D42" s="21" t="str">
        <f>VLOOKUP("&lt;T11SpaltenTitel_2&gt;",Uebersetzungen!$B$4:$E$304,Uebersetzungen!$B$2+1,FALSE)</f>
        <v>November 2023</v>
      </c>
      <c r="E42" s="22" t="str">
        <f>VLOOKUP("&lt;SpaltenTitel_3&gt;",Uebersetzungen!$B$4:$E$304,Uebersetzungen!$B$2+1,FALSE)</f>
        <v>Veränderung 24/23 in %</v>
      </c>
      <c r="F42" s="22" t="str">
        <f>VLOOKUP("&lt;SpaltenTitel_4&gt;",Uebersetzungen!$B$4:$E$304,Uebersetzungen!$B$2+1,FALSE)</f>
        <v>Veränderung zum
5-Jahresmittel 
in %</v>
      </c>
      <c r="G42" s="75" t="str">
        <f>VLOOKUP("&lt;T11SpaltenTitel_5&gt;",Uebersetzungen!$B$4:$E$304,Uebersetzungen!$B$2+1,FALSE)</f>
        <v>Januar-November 24</v>
      </c>
      <c r="H42" s="22" t="str">
        <f>VLOOKUP("&lt;T11SpaltenTitel_6&gt;",Uebersetzungen!$B$4:$E$304,Uebersetzungen!$B$2+1,FALSE)</f>
        <v>Januar-November 23</v>
      </c>
      <c r="I42" s="22" t="str">
        <f>VLOOKUP("&lt;SpaltenTitel_7&gt;",Uebersetzungen!$B$4:$E$304,Uebersetzungen!$B$2+1,FALSE)</f>
        <v>Veränderung 24/23 in %</v>
      </c>
      <c r="J42" s="23" t="str">
        <f>VLOOKUP("&lt;SpaltenTitel_8&gt;",Uebersetzungen!$B$4:$E$304,Uebersetzungen!$B$2+1,FALSE)</f>
        <v>Veränderung zum
5-Jahresmittel 
in %</v>
      </c>
    </row>
    <row r="43" spans="1:10" x14ac:dyDescent="0.2">
      <c r="A43" s="24" t="str">
        <f>VLOOKUP("&lt;Zeilentitel_25&gt;",Uebersetzungen!$B$4:$E$78,Uebersetzungen!$B$2+1,FALSE)</f>
        <v>Arosa</v>
      </c>
      <c r="B43" s="5"/>
      <c r="C43" s="13">
        <v>6193</v>
      </c>
      <c r="D43" s="17">
        <v>5278</v>
      </c>
      <c r="E43" s="10">
        <f>C43/D43-1</f>
        <v>0.17336112163698369</v>
      </c>
      <c r="F43" s="80">
        <v>0.40596621867054128</v>
      </c>
      <c r="G43" s="83">
        <v>373888</v>
      </c>
      <c r="H43" s="17">
        <v>352141</v>
      </c>
      <c r="I43" s="10">
        <f>G43/H43-1</f>
        <v>6.1756512306150091E-2</v>
      </c>
      <c r="J43" s="44">
        <v>0.10786290860237679</v>
      </c>
    </row>
    <row r="44" spans="1:10" x14ac:dyDescent="0.2">
      <c r="A44" s="24" t="str">
        <f>VLOOKUP("&lt;Zeilentitel_26&gt;",Uebersetzungen!$B$4:$E$78,Uebersetzungen!$B$2+1,FALSE)</f>
        <v>Bergün Filisur</v>
      </c>
      <c r="B44" s="5"/>
      <c r="C44" s="13">
        <v>367</v>
      </c>
      <c r="D44" s="17">
        <v>189</v>
      </c>
      <c r="E44" s="10">
        <f t="shared" ref="E44:E61" si="3">C44/D44-1</f>
        <v>0.94179894179894186</v>
      </c>
      <c r="F44" s="80">
        <v>0.14401496259351609</v>
      </c>
      <c r="G44" s="83">
        <v>53707</v>
      </c>
      <c r="H44" s="17">
        <v>59179</v>
      </c>
      <c r="I44" s="10">
        <f t="shared" ref="I44:I61" si="4">G44/H44-1</f>
        <v>-9.246523259940187E-2</v>
      </c>
      <c r="J44" s="44">
        <v>-6.9309229793472427E-2</v>
      </c>
    </row>
    <row r="45" spans="1:10" x14ac:dyDescent="0.2">
      <c r="A45" s="24" t="str">
        <f>VLOOKUP("&lt;Zeilentitel_27&gt;",Uebersetzungen!$B$4:$E$78,Uebersetzungen!$B$2+1,FALSE)</f>
        <v>Bregaglia Engadin</v>
      </c>
      <c r="B45" s="5"/>
      <c r="C45" s="13">
        <v>427</v>
      </c>
      <c r="D45" s="17">
        <v>256</v>
      </c>
      <c r="E45" s="10">
        <f t="shared" si="3"/>
        <v>0.66796875</v>
      </c>
      <c r="F45" s="80">
        <v>0.56985294117647056</v>
      </c>
      <c r="G45" s="83">
        <v>50369</v>
      </c>
      <c r="H45" s="17">
        <v>48978</v>
      </c>
      <c r="I45" s="10">
        <f t="shared" si="4"/>
        <v>2.8400506349789634E-2</v>
      </c>
      <c r="J45" s="44">
        <v>1.2204915360700674E-3</v>
      </c>
    </row>
    <row r="46" spans="1:10" x14ac:dyDescent="0.2">
      <c r="A46" s="24" t="str">
        <f>VLOOKUP("&lt;Zeilentitel_28&gt;",Uebersetzungen!$B$4:$E$78,Uebersetzungen!$B$2+1,FALSE)</f>
        <v>Bündner Herrschaft</v>
      </c>
      <c r="B46" s="5"/>
      <c r="C46" s="13">
        <v>3694</v>
      </c>
      <c r="D46" s="17">
        <v>3449</v>
      </c>
      <c r="E46" s="10">
        <f t="shared" si="3"/>
        <v>7.1035082632647129E-2</v>
      </c>
      <c r="F46" s="80">
        <v>0.14706247671096762</v>
      </c>
      <c r="G46" s="83">
        <v>54763</v>
      </c>
      <c r="H46" s="17">
        <v>50820</v>
      </c>
      <c r="I46" s="10">
        <f t="shared" si="4"/>
        <v>7.7587563951200256E-2</v>
      </c>
      <c r="J46" s="44">
        <v>0.23895947584659094</v>
      </c>
    </row>
    <row r="47" spans="1:10" x14ac:dyDescent="0.2">
      <c r="A47" s="24" t="str">
        <f>VLOOKUP("&lt;Zeilentitel_29&gt;",Uebersetzungen!$B$4:$E$78,Uebersetzungen!$B$2+1,FALSE)</f>
        <v>Chur</v>
      </c>
      <c r="B47" s="5"/>
      <c r="C47" s="13">
        <v>14068</v>
      </c>
      <c r="D47" s="17">
        <v>12900</v>
      </c>
      <c r="E47" s="10">
        <f t="shared" si="3"/>
        <v>9.0542635658914739E-2</v>
      </c>
      <c r="F47" s="80">
        <v>0.29766626694954335</v>
      </c>
      <c r="G47" s="83">
        <v>227956</v>
      </c>
      <c r="H47" s="17">
        <v>208896</v>
      </c>
      <c r="I47" s="10">
        <f t="shared" si="4"/>
        <v>9.1241574754902022E-2</v>
      </c>
      <c r="J47" s="44">
        <v>0.33456667974169996</v>
      </c>
    </row>
    <row r="48" spans="1:10" x14ac:dyDescent="0.2">
      <c r="A48" s="24" t="str">
        <f>VLOOKUP("&lt;Zeilentitel_30&gt;",Uebersetzungen!$B$4:$E$78,Uebersetzungen!$B$2+1,FALSE)</f>
        <v>Davos Klosters</v>
      </c>
      <c r="B48" s="5"/>
      <c r="C48" s="13">
        <v>21322</v>
      </c>
      <c r="D48" s="17">
        <v>23191</v>
      </c>
      <c r="E48" s="10">
        <f t="shared" si="3"/>
        <v>-8.0591608813763926E-2</v>
      </c>
      <c r="F48" s="80">
        <v>-0.15663984938019637</v>
      </c>
      <c r="G48" s="83">
        <v>853963</v>
      </c>
      <c r="H48" s="17">
        <v>846423</v>
      </c>
      <c r="I48" s="10">
        <f t="shared" si="4"/>
        <v>8.9080755130708233E-3</v>
      </c>
      <c r="J48" s="44">
        <v>3.2791710991556977E-2</v>
      </c>
    </row>
    <row r="49" spans="1:10" x14ac:dyDescent="0.2">
      <c r="A49" s="24" t="str">
        <f>VLOOKUP("&lt;Zeilentitel_31&gt;",Uebersetzungen!$B$4:$E$78,Uebersetzungen!$B$2+1,FALSE)</f>
        <v>Disentis Sedrun</v>
      </c>
      <c r="B49" s="5"/>
      <c r="C49" s="13">
        <v>1180</v>
      </c>
      <c r="D49" s="17">
        <v>1145</v>
      </c>
      <c r="E49" s="10">
        <f t="shared" si="3"/>
        <v>3.0567685589519611E-2</v>
      </c>
      <c r="F49" s="80">
        <v>0.4827846192510683</v>
      </c>
      <c r="G49" s="83">
        <v>122002</v>
      </c>
      <c r="H49" s="17">
        <v>124913</v>
      </c>
      <c r="I49" s="10">
        <f t="shared" si="4"/>
        <v>-2.330421973693686E-2</v>
      </c>
      <c r="J49" s="44">
        <v>3.301005728878259E-2</v>
      </c>
    </row>
    <row r="50" spans="1:10" x14ac:dyDescent="0.2">
      <c r="A50" s="24" t="str">
        <f>VLOOKUP("&lt;Zeilentitel_32&gt;",Uebersetzungen!$B$4:$E$78,Uebersetzungen!$B$2+1,FALSE)</f>
        <v>Scuol Samnaun Val Müstair</v>
      </c>
      <c r="B50" s="5"/>
      <c r="C50" s="13">
        <v>14672</v>
      </c>
      <c r="D50" s="17">
        <v>9462</v>
      </c>
      <c r="E50" s="10">
        <f t="shared" si="3"/>
        <v>0.55062354681885428</v>
      </c>
      <c r="F50" s="80">
        <v>0.18751618751618748</v>
      </c>
      <c r="G50" s="83">
        <v>501401</v>
      </c>
      <c r="H50" s="17">
        <v>491917</v>
      </c>
      <c r="I50" s="10">
        <f t="shared" si="4"/>
        <v>1.927967522976437E-2</v>
      </c>
      <c r="J50" s="44">
        <v>-8.0201038747678144E-3</v>
      </c>
    </row>
    <row r="51" spans="1:10" x14ac:dyDescent="0.2">
      <c r="A51" s="24" t="str">
        <f>VLOOKUP("&lt;Zeilentitel_33&gt;",Uebersetzungen!$B$4:$E$78,Uebersetzungen!$B$2+1,FALSE)</f>
        <v>Engadin St. Moritz</v>
      </c>
      <c r="B51" s="5"/>
      <c r="C51" s="13">
        <v>36722</v>
      </c>
      <c r="D51" s="17">
        <v>24808</v>
      </c>
      <c r="E51" s="10">
        <f t="shared" si="3"/>
        <v>0.48024830699774257</v>
      </c>
      <c r="F51" s="80">
        <v>0.62020736818883737</v>
      </c>
      <c r="G51" s="83">
        <v>1518055</v>
      </c>
      <c r="H51" s="17">
        <v>1508473</v>
      </c>
      <c r="I51" s="10">
        <f t="shared" si="4"/>
        <v>6.3521189971580405E-3</v>
      </c>
      <c r="J51" s="44">
        <v>7.2505377875595078E-2</v>
      </c>
    </row>
    <row r="52" spans="1:10" x14ac:dyDescent="0.2">
      <c r="A52" s="24" t="str">
        <f>VLOOKUP("&lt;Zeilentitel_34&gt;",Uebersetzungen!$B$4:$E$78,Uebersetzungen!$B$2+1,FALSE)</f>
        <v>Flims Laax</v>
      </c>
      <c r="B52" s="5"/>
      <c r="C52" s="13">
        <v>6576</v>
      </c>
      <c r="D52" s="17">
        <v>4946</v>
      </c>
      <c r="E52" s="10">
        <f t="shared" si="3"/>
        <v>0.32955923978972912</v>
      </c>
      <c r="F52" s="80">
        <v>-7.1868119460283375E-2</v>
      </c>
      <c r="G52" s="83">
        <v>422225</v>
      </c>
      <c r="H52" s="17">
        <v>433566</v>
      </c>
      <c r="I52" s="10">
        <f t="shared" si="4"/>
        <v>-2.615749389942934E-2</v>
      </c>
      <c r="J52" s="44">
        <v>-5.6915846226077593E-2</v>
      </c>
    </row>
    <row r="53" spans="1:10" x14ac:dyDescent="0.2">
      <c r="A53" s="24" t="str">
        <f>VLOOKUP("&lt;Zeilentitel_35&gt;",Uebersetzungen!$B$4:$E$78,Uebersetzungen!$B$2+1,FALSE)</f>
        <v>Lenzerheide</v>
      </c>
      <c r="B53" s="5"/>
      <c r="C53" s="13">
        <v>9721</v>
      </c>
      <c r="D53" s="17">
        <v>6303</v>
      </c>
      <c r="E53" s="10">
        <f t="shared" si="3"/>
        <v>0.54228145327621768</v>
      </c>
      <c r="F53" s="80">
        <v>0.2380915991645014</v>
      </c>
      <c r="G53" s="83">
        <v>297403</v>
      </c>
      <c r="H53" s="17">
        <v>284102</v>
      </c>
      <c r="I53" s="10">
        <f t="shared" si="4"/>
        <v>4.681769223729515E-2</v>
      </c>
      <c r="J53" s="44">
        <v>1.0241585934209319E-2</v>
      </c>
    </row>
    <row r="54" spans="1:10" x14ac:dyDescent="0.2">
      <c r="A54" s="24" t="str">
        <f>VLOOKUP("&lt;Zeilentitel_36&gt;",Uebersetzungen!$B$4:$E$78,Uebersetzungen!$B$2+1,FALSE)</f>
        <v>Prättigau</v>
      </c>
      <c r="B54" s="5"/>
      <c r="C54" s="13">
        <v>3715</v>
      </c>
      <c r="D54" s="17">
        <v>3617</v>
      </c>
      <c r="E54" s="10">
        <f t="shared" si="3"/>
        <v>2.7094277025158986E-2</v>
      </c>
      <c r="F54" s="80">
        <v>0.12310296874055249</v>
      </c>
      <c r="G54" s="83">
        <v>73961</v>
      </c>
      <c r="H54" s="17">
        <v>78321</v>
      </c>
      <c r="I54" s="10">
        <f t="shared" si="4"/>
        <v>-5.566833927043835E-2</v>
      </c>
      <c r="J54" s="44">
        <v>0.11418930115545112</v>
      </c>
    </row>
    <row r="55" spans="1:10" x14ac:dyDescent="0.2">
      <c r="A55" s="24" t="str">
        <f>VLOOKUP("&lt;Zeilentitel_37&gt;",Uebersetzungen!$B$4:$E$78,Uebersetzungen!$B$2+1,FALSE)</f>
        <v>San Bernardino, Mesolcina/Calanca</v>
      </c>
      <c r="B55" s="5"/>
      <c r="C55" s="13">
        <v>939</v>
      </c>
      <c r="D55" s="17">
        <v>821</v>
      </c>
      <c r="E55" s="10">
        <f t="shared" si="3"/>
        <v>0.14372716199756397</v>
      </c>
      <c r="F55" s="80">
        <v>0.30199667221297832</v>
      </c>
      <c r="G55" s="83">
        <v>22870</v>
      </c>
      <c r="H55" s="17">
        <v>22665</v>
      </c>
      <c r="I55" s="10">
        <f t="shared" si="4"/>
        <v>9.0447827046107321E-3</v>
      </c>
      <c r="J55" s="44">
        <v>4.7967300854136585E-2</v>
      </c>
    </row>
    <row r="56" spans="1:10" x14ac:dyDescent="0.2">
      <c r="A56" s="24" t="str">
        <f>VLOOKUP("&lt;Zeilentitel_38&gt;",Uebersetzungen!$B$4:$E$78,Uebersetzungen!$B$2+1,FALSE)</f>
        <v>Val Surses</v>
      </c>
      <c r="B56" s="5"/>
      <c r="C56" s="13">
        <v>262</v>
      </c>
      <c r="D56" s="17">
        <v>571</v>
      </c>
      <c r="E56" s="10">
        <f t="shared" si="3"/>
        <v>-0.54115586690017514</v>
      </c>
      <c r="F56" s="80">
        <v>-0.4472573839662447</v>
      </c>
      <c r="G56" s="83">
        <v>86018</v>
      </c>
      <c r="H56" s="17">
        <v>77815</v>
      </c>
      <c r="I56" s="10">
        <f t="shared" si="4"/>
        <v>0.10541669343956817</v>
      </c>
      <c r="J56" s="44">
        <v>0.2522966098980608</v>
      </c>
    </row>
    <row r="57" spans="1:10" x14ac:dyDescent="0.2">
      <c r="A57" s="24" t="str">
        <f>VLOOKUP("&lt;Zeilentitel_39&gt;",Uebersetzungen!$B$4:$E$78,Uebersetzungen!$B$2+1,FALSE)</f>
        <v>Surselva</v>
      </c>
      <c r="B57" s="5"/>
      <c r="C57" s="13">
        <v>2556</v>
      </c>
      <c r="D57" s="17">
        <v>1653</v>
      </c>
      <c r="E57" s="10">
        <f t="shared" si="3"/>
        <v>0.54627949183303093</v>
      </c>
      <c r="F57" s="80">
        <v>0.17614577581446733</v>
      </c>
      <c r="G57" s="83">
        <v>91491</v>
      </c>
      <c r="H57" s="17">
        <v>91451</v>
      </c>
      <c r="I57" s="10">
        <f t="shared" si="4"/>
        <v>4.3739270210285675E-4</v>
      </c>
      <c r="J57" s="44">
        <v>-6.9350861774327366E-2</v>
      </c>
    </row>
    <row r="58" spans="1:10" x14ac:dyDescent="0.2">
      <c r="A58" s="24" t="str">
        <f>VLOOKUP("&lt;Zeilentitel_40&gt;",Uebersetzungen!$B$4:$E$78,Uebersetzungen!$B$2+1,FALSE)</f>
        <v>Valposchiavo</v>
      </c>
      <c r="B58" s="5"/>
      <c r="C58" s="13">
        <v>2087</v>
      </c>
      <c r="D58" s="17">
        <v>2102</v>
      </c>
      <c r="E58" s="10">
        <f t="shared" si="3"/>
        <v>-7.1360608943863424E-3</v>
      </c>
      <c r="F58" s="80">
        <v>0.53546203649205415</v>
      </c>
      <c r="G58" s="83">
        <v>69578</v>
      </c>
      <c r="H58" s="17">
        <v>74173</v>
      </c>
      <c r="I58" s="10">
        <f t="shared" si="4"/>
        <v>-6.1949766087390334E-2</v>
      </c>
      <c r="J58" s="44">
        <v>4.0689465371176903E-2</v>
      </c>
    </row>
    <row r="59" spans="1:10" x14ac:dyDescent="0.2">
      <c r="A59" s="24" t="str">
        <f>VLOOKUP("&lt;Zeilentitel_41&gt;",Uebersetzungen!$B$4:$E$78,Uebersetzungen!$B$2+1,FALSE)</f>
        <v>Vals</v>
      </c>
      <c r="B59" s="5"/>
      <c r="C59" s="13">
        <v>4576</v>
      </c>
      <c r="D59" s="17">
        <v>4133</v>
      </c>
      <c r="E59" s="10">
        <f t="shared" si="3"/>
        <v>0.10718606339220904</v>
      </c>
      <c r="F59" s="80">
        <v>-4.9281143521981208E-2</v>
      </c>
      <c r="G59" s="83">
        <v>59515</v>
      </c>
      <c r="H59" s="17">
        <v>60992</v>
      </c>
      <c r="I59" s="10">
        <f t="shared" si="4"/>
        <v>-2.4216290661070339E-2</v>
      </c>
      <c r="J59" s="44">
        <v>-9.982878369875603E-2</v>
      </c>
    </row>
    <row r="60" spans="1:10" x14ac:dyDescent="0.2">
      <c r="A60" s="24" t="str">
        <f>VLOOKUP("&lt;Zeilentitel_42&gt;",Uebersetzungen!$B$4:$E$78,Uebersetzungen!$B$2+1,FALSE)</f>
        <v>Viamala</v>
      </c>
      <c r="B60" s="7"/>
      <c r="C60" s="14">
        <v>3317</v>
      </c>
      <c r="D60" s="18">
        <v>2931</v>
      </c>
      <c r="E60" s="11">
        <f t="shared" si="3"/>
        <v>0.13169566700784707</v>
      </c>
      <c r="F60" s="81">
        <v>0.17283077575843309</v>
      </c>
      <c r="G60" s="84">
        <v>86522</v>
      </c>
      <c r="H60" s="18">
        <v>86630</v>
      </c>
      <c r="I60" s="11">
        <f t="shared" si="4"/>
        <v>-1.2466812882373501E-3</v>
      </c>
      <c r="J60" s="46">
        <v>1.665479891803745E-2</v>
      </c>
    </row>
    <row r="61" spans="1:10" ht="13.5" thickBot="1" x14ac:dyDescent="0.25">
      <c r="A61" s="26" t="str">
        <f>VLOOKUP("&lt;Zeilentitel_43&gt;",Uebersetzungen!$B$4:$E$78,Uebersetzungen!$B$2+1,FALSE)</f>
        <v>Graubünden</v>
      </c>
      <c r="B61" s="6"/>
      <c r="C61" s="30">
        <v>132394</v>
      </c>
      <c r="D61" s="40">
        <v>107755</v>
      </c>
      <c r="E61" s="65">
        <f t="shared" si="3"/>
        <v>0.22865760289545722</v>
      </c>
      <c r="F61" s="82">
        <v>0.19520667901649169</v>
      </c>
      <c r="G61" s="79">
        <v>4965687</v>
      </c>
      <c r="H61" s="40">
        <v>4901455</v>
      </c>
      <c r="I61" s="65">
        <f t="shared" si="4"/>
        <v>1.310468014089694E-2</v>
      </c>
      <c r="J61" s="66">
        <v>4.7233459121746479E-2</v>
      </c>
    </row>
    <row r="63" spans="1:10" x14ac:dyDescent="0.2">
      <c r="A63" s="4" t="str">
        <f>VLOOKUP("&lt;Legende_1&gt;",Uebersetzungen!$B$4:$E$80,Uebersetzungen!$B$2+1,FALSE)</f>
        <v>Aktuelle Zuordnung der politischen Gemeinden zu Destinationen:</v>
      </c>
      <c r="E63" s="67" t="s">
        <v>214</v>
      </c>
      <c r="F63" s="49"/>
    </row>
    <row r="65" spans="1:10" ht="10.5" customHeight="1" x14ac:dyDescent="0.2"/>
    <row r="66" spans="1:10" ht="18" x14ac:dyDescent="0.25">
      <c r="A66" s="2" t="str">
        <f>VLOOKUP("&lt;T11Titel3&gt;",Uebersetzungen!$B$4:$E$304,Uebersetzungen!$B$2+1,FALSE)</f>
        <v>Hotel- und Kurbetriebe: Logiernächte im November 2024, nach Schweizer Tourismusregionen</v>
      </c>
      <c r="B66" s="3"/>
      <c r="C66" s="3"/>
      <c r="D66" s="3"/>
      <c r="E66" s="3"/>
      <c r="F66" s="3"/>
    </row>
    <row r="67" spans="1:10" s="123" customFormat="1" x14ac:dyDescent="0.2">
      <c r="A67" s="120" t="str">
        <f>VLOOKUP("&lt;Titelprov&gt;",Uebersetzungen!$B$4:$E$304,Uebersetzungen!$B$2+1,FALSE)</f>
        <v>definitive Ergebnisse</v>
      </c>
      <c r="B67" s="121"/>
      <c r="C67" s="122"/>
      <c r="D67" s="122"/>
      <c r="E67" s="122"/>
      <c r="F67" s="122"/>
      <c r="G67" s="122"/>
    </row>
    <row r="68" spans="1:10" ht="18.75" customHeight="1" thickBot="1" x14ac:dyDescent="0.3">
      <c r="A68" s="50"/>
    </row>
    <row r="69" spans="1:10" ht="51" x14ac:dyDescent="0.2">
      <c r="A69" s="8"/>
      <c r="B69" s="9"/>
      <c r="C69" s="20" t="str">
        <f>VLOOKUP("&lt;T11SpaltenTitel_1&gt;",Uebersetzungen!$B$4:$E$304,Uebersetzungen!$B$2+1,FALSE)</f>
        <v>November 2024</v>
      </c>
      <c r="D69" s="21" t="str">
        <f>VLOOKUP("&lt;T11SpaltenTitel_2&gt;",Uebersetzungen!$B$4:$E$304,Uebersetzungen!$B$2+1,FALSE)</f>
        <v>November 2023</v>
      </c>
      <c r="E69" s="22" t="str">
        <f>VLOOKUP("&lt;SpaltenTitel_3&gt;",Uebersetzungen!$B$4:$E$304,Uebersetzungen!$B$2+1,FALSE)</f>
        <v>Veränderung 24/23 in %</v>
      </c>
      <c r="F69" s="22" t="str">
        <f>VLOOKUP("&lt;SpaltenTitel_4&gt;",Uebersetzungen!$B$4:$E$304,Uebersetzungen!$B$2+1,FALSE)</f>
        <v>Veränderung zum
5-Jahresmittel 
in %</v>
      </c>
      <c r="G69" s="75" t="str">
        <f>VLOOKUP("&lt;T11SpaltenTitel_5&gt;",Uebersetzungen!$B$4:$E$304,Uebersetzungen!$B$2+1,FALSE)</f>
        <v>Januar-November 24</v>
      </c>
      <c r="H69" s="22" t="str">
        <f>VLOOKUP("&lt;T11SpaltenTitel_6&gt;",Uebersetzungen!$B$4:$E$304,Uebersetzungen!$B$2+1,FALSE)</f>
        <v>Januar-November 23</v>
      </c>
      <c r="I69" s="22" t="str">
        <f>VLOOKUP("&lt;SpaltenTitel_7&gt;",Uebersetzungen!$B$4:$E$304,Uebersetzungen!$B$2+1,FALSE)</f>
        <v>Veränderung 24/23 in %</v>
      </c>
      <c r="J69" s="23" t="str">
        <f>VLOOKUP("&lt;SpaltenTitel_8&gt;",Uebersetzungen!$B$4:$E$304,Uebersetzungen!$B$2+1,FALSE)</f>
        <v>Veränderung zum
5-Jahresmittel 
in %</v>
      </c>
    </row>
    <row r="70" spans="1:10" x14ac:dyDescent="0.2">
      <c r="A70" s="24" t="str">
        <f>VLOOKUP("&lt;Zeilentitel_44&gt;",Uebersetzungen!$B$4:$E$78,Uebersetzungen!$B$2+1,FALSE)</f>
        <v>Aargau und Solothurn Region</v>
      </c>
      <c r="B70" s="5"/>
      <c r="C70" s="13">
        <v>96548</v>
      </c>
      <c r="D70" s="17">
        <v>90609</v>
      </c>
      <c r="E70" s="10">
        <f>C70/D70-1</f>
        <v>6.5545365250692544E-2</v>
      </c>
      <c r="F70" s="80">
        <v>0.25201974225106261</v>
      </c>
      <c r="G70" s="83">
        <v>1134517</v>
      </c>
      <c r="H70" s="17">
        <v>1071627</v>
      </c>
      <c r="I70" s="10">
        <f>G70/H70-1</f>
        <v>5.8686464600089305E-2</v>
      </c>
      <c r="J70" s="44">
        <v>0.28902289324891606</v>
      </c>
    </row>
    <row r="71" spans="1:10" x14ac:dyDescent="0.2">
      <c r="A71" s="24" t="str">
        <f>VLOOKUP("&lt;Zeilentitel_45&gt;",Uebersetzungen!$B$4:$E$78,Uebersetzungen!$B$2+1,FALSE)</f>
        <v>Basel Region</v>
      </c>
      <c r="B71" s="5"/>
      <c r="C71" s="13">
        <v>159741</v>
      </c>
      <c r="D71" s="17">
        <v>154887</v>
      </c>
      <c r="E71" s="10">
        <f t="shared" ref="E71:E83" si="5">C71/D71-1</f>
        <v>3.1338976156811027E-2</v>
      </c>
      <c r="F71" s="80">
        <v>0.41608084748016494</v>
      </c>
      <c r="G71" s="83">
        <v>1647965</v>
      </c>
      <c r="H71" s="17">
        <v>1584727</v>
      </c>
      <c r="I71" s="10">
        <f t="shared" ref="I71:I83" si="6">G71/H71-1</f>
        <v>3.9904664967530756E-2</v>
      </c>
      <c r="J71" s="44">
        <v>0.34890649489352721</v>
      </c>
    </row>
    <row r="72" spans="1:10" x14ac:dyDescent="0.2">
      <c r="A72" s="24" t="str">
        <f>VLOOKUP("&lt;Zeilentitel_46&gt;",Uebersetzungen!$B$4:$E$78,Uebersetzungen!$B$2+1,FALSE)</f>
        <v>Bern Region</v>
      </c>
      <c r="B72" s="5"/>
      <c r="C72" s="13">
        <v>286122</v>
      </c>
      <c r="D72" s="17">
        <v>263133</v>
      </c>
      <c r="E72" s="10">
        <f t="shared" si="5"/>
        <v>8.7366464867576488E-2</v>
      </c>
      <c r="F72" s="80">
        <v>0.35809325267990388</v>
      </c>
      <c r="G72" s="83">
        <v>5761921</v>
      </c>
      <c r="H72" s="17">
        <v>5612696</v>
      </c>
      <c r="I72" s="10">
        <f t="shared" si="6"/>
        <v>2.6587044799860848E-2</v>
      </c>
      <c r="J72" s="44">
        <v>0.29086036821523931</v>
      </c>
    </row>
    <row r="73" spans="1:10" x14ac:dyDescent="0.2">
      <c r="A73" s="24" t="str">
        <f>VLOOKUP("&lt;Zeilentitel_47&gt;",Uebersetzungen!$B$4:$E$78,Uebersetzungen!$B$2+1,FALSE)</f>
        <v>Fribourg Region</v>
      </c>
      <c r="B73" s="5"/>
      <c r="C73" s="13">
        <v>33998</v>
      </c>
      <c r="D73" s="17">
        <v>34448</v>
      </c>
      <c r="E73" s="10">
        <f t="shared" si="5"/>
        <v>-1.3063167673014409E-2</v>
      </c>
      <c r="F73" s="80">
        <v>0.2718851943854188</v>
      </c>
      <c r="G73" s="83">
        <v>453908</v>
      </c>
      <c r="H73" s="17">
        <v>466767</v>
      </c>
      <c r="I73" s="10">
        <f t="shared" si="6"/>
        <v>-2.7549076948456097E-2</v>
      </c>
      <c r="J73" s="44">
        <v>0.11868002519758303</v>
      </c>
    </row>
    <row r="74" spans="1:10" x14ac:dyDescent="0.2">
      <c r="A74" s="24" t="str">
        <f>VLOOKUP("&lt;Zeilentitel_48&gt;",Uebersetzungen!$B$4:$E$78,Uebersetzungen!$B$2+1,FALSE)</f>
        <v>Genf</v>
      </c>
      <c r="B74" s="5"/>
      <c r="C74" s="13">
        <v>282807</v>
      </c>
      <c r="D74" s="17">
        <v>278208</v>
      </c>
      <c r="E74" s="10">
        <f t="shared" si="5"/>
        <v>1.6530797101449224E-2</v>
      </c>
      <c r="F74" s="80">
        <v>0.4397342564781348</v>
      </c>
      <c r="G74" s="83">
        <v>3470115</v>
      </c>
      <c r="H74" s="17">
        <v>3267441</v>
      </c>
      <c r="I74" s="10">
        <f t="shared" si="6"/>
        <v>6.2028357971880776E-2</v>
      </c>
      <c r="J74" s="44">
        <v>0.53571317616825631</v>
      </c>
    </row>
    <row r="75" spans="1:10" x14ac:dyDescent="0.2">
      <c r="A75" s="110" t="str">
        <f>VLOOKUP("&lt;Zeilentitel_49&gt;",Uebersetzungen!$B$4:$E$78,Uebersetzungen!$B$2+1,FALSE)</f>
        <v>Graubünden</v>
      </c>
      <c r="B75" s="60"/>
      <c r="C75" s="61">
        <v>132394</v>
      </c>
      <c r="D75" s="62">
        <v>107755</v>
      </c>
      <c r="E75" s="63">
        <f t="shared" si="5"/>
        <v>0.22865760289545722</v>
      </c>
      <c r="F75" s="85">
        <v>0.19520667901649169</v>
      </c>
      <c r="G75" s="87">
        <v>4965687</v>
      </c>
      <c r="H75" s="62">
        <v>4901455</v>
      </c>
      <c r="I75" s="63">
        <f t="shared" si="6"/>
        <v>1.310468014089694E-2</v>
      </c>
      <c r="J75" s="64">
        <v>4.7233459121746479E-2</v>
      </c>
    </row>
    <row r="76" spans="1:10" x14ac:dyDescent="0.2">
      <c r="A76" s="24" t="str">
        <f>VLOOKUP("&lt;Zeilentitel_50&gt;",Uebersetzungen!$B$4:$E$78,Uebersetzungen!$B$2+1,FALSE)</f>
        <v>Jura &amp; Drei-Seen-Land</v>
      </c>
      <c r="B76" s="5"/>
      <c r="C76" s="13">
        <v>43569</v>
      </c>
      <c r="D76" s="17">
        <v>43325</v>
      </c>
      <c r="E76" s="10">
        <f t="shared" si="5"/>
        <v>5.6318522792844217E-3</v>
      </c>
      <c r="F76" s="80">
        <v>0.20381627081928788</v>
      </c>
      <c r="G76" s="83">
        <v>583786</v>
      </c>
      <c r="H76" s="17">
        <v>570931</v>
      </c>
      <c r="I76" s="10">
        <f t="shared" si="6"/>
        <v>2.2515855681334518E-2</v>
      </c>
      <c r="J76" s="44">
        <v>0.12676899060462898</v>
      </c>
    </row>
    <row r="77" spans="1:10" x14ac:dyDescent="0.2">
      <c r="A77" s="24" t="str">
        <f>VLOOKUP("&lt;Zeilentitel_51&gt;",Uebersetzungen!$B$4:$E$78,Uebersetzungen!$B$2+1,FALSE)</f>
        <v>Luzern / Vierwaldstättersee</v>
      </c>
      <c r="B77" s="5"/>
      <c r="C77" s="13">
        <v>231931</v>
      </c>
      <c r="D77" s="17">
        <v>215202</v>
      </c>
      <c r="E77" s="10">
        <f t="shared" si="5"/>
        <v>7.7736266391576381E-2</v>
      </c>
      <c r="F77" s="80">
        <v>0.27687605222215006</v>
      </c>
      <c r="G77" s="83">
        <v>3793040</v>
      </c>
      <c r="H77" s="17">
        <v>3684725</v>
      </c>
      <c r="I77" s="10">
        <f t="shared" si="6"/>
        <v>2.9395680817428715E-2</v>
      </c>
      <c r="J77" s="44">
        <v>0.25188721740586084</v>
      </c>
    </row>
    <row r="78" spans="1:10" x14ac:dyDescent="0.2">
      <c r="A78" s="24" t="str">
        <f>VLOOKUP("&lt;Zeilentitel_52&gt;",Uebersetzungen!$B$4:$E$78,Uebersetzungen!$B$2+1,FALSE)</f>
        <v>Ostschweiz</v>
      </c>
      <c r="B78" s="5"/>
      <c r="C78" s="13">
        <v>130131</v>
      </c>
      <c r="D78" s="17">
        <v>124193</v>
      </c>
      <c r="E78" s="10">
        <f t="shared" si="5"/>
        <v>4.7812678653386342E-2</v>
      </c>
      <c r="F78" s="80">
        <v>0.11513966346401028</v>
      </c>
      <c r="G78" s="83">
        <v>1912973</v>
      </c>
      <c r="H78" s="17">
        <v>1916241</v>
      </c>
      <c r="I78" s="10">
        <f t="shared" si="6"/>
        <v>-1.705422230293574E-3</v>
      </c>
      <c r="J78" s="44">
        <v>0.10081121667078707</v>
      </c>
    </row>
    <row r="79" spans="1:10" x14ac:dyDescent="0.2">
      <c r="A79" s="24" t="str">
        <f>VLOOKUP("&lt;Zeilentitel_53&gt;",Uebersetzungen!$B$4:$E$78,Uebersetzungen!$B$2+1,FALSE)</f>
        <v>Tessin</v>
      </c>
      <c r="B79" s="5"/>
      <c r="C79" s="13">
        <v>105376</v>
      </c>
      <c r="D79" s="17">
        <v>94515</v>
      </c>
      <c r="E79" s="10">
        <f t="shared" si="5"/>
        <v>0.11491297677617318</v>
      </c>
      <c r="F79" s="80">
        <v>0.21647018622928416</v>
      </c>
      <c r="G79" s="83">
        <v>2328445</v>
      </c>
      <c r="H79" s="17">
        <v>2372126</v>
      </c>
      <c r="I79" s="10">
        <f t="shared" si="6"/>
        <v>-1.8414283221043104E-2</v>
      </c>
      <c r="J79" s="44">
        <v>-1.5490961329719388E-2</v>
      </c>
    </row>
    <row r="80" spans="1:10" x14ac:dyDescent="0.2">
      <c r="A80" s="24" t="str">
        <f>VLOOKUP("&lt;Zeilentitel_54&gt;",Uebersetzungen!$B$4:$E$78,Uebersetzungen!$B$2+1,FALSE)</f>
        <v>Waadt</v>
      </c>
      <c r="B80" s="5"/>
      <c r="C80" s="13">
        <v>199091</v>
      </c>
      <c r="D80" s="17">
        <v>185620</v>
      </c>
      <c r="E80" s="10">
        <f t="shared" si="5"/>
        <v>7.2572998599288896E-2</v>
      </c>
      <c r="F80" s="80">
        <v>0.30714504253830022</v>
      </c>
      <c r="G80" s="83">
        <v>2720364</v>
      </c>
      <c r="H80" s="17">
        <v>2697820</v>
      </c>
      <c r="I80" s="10">
        <f t="shared" si="6"/>
        <v>8.3563766300198683E-3</v>
      </c>
      <c r="J80" s="44">
        <v>0.20223065262048134</v>
      </c>
    </row>
    <row r="81" spans="1:10" x14ac:dyDescent="0.2">
      <c r="A81" s="24" t="str">
        <f>VLOOKUP("&lt;Zeilentitel_55&gt;",Uebersetzungen!$B$4:$E$78,Uebersetzungen!$B$2+1,FALSE)</f>
        <v>Wallis</v>
      </c>
      <c r="B81" s="5"/>
      <c r="C81" s="13">
        <v>143828</v>
      </c>
      <c r="D81" s="17">
        <v>132245</v>
      </c>
      <c r="E81" s="33">
        <f t="shared" si="5"/>
        <v>8.7587432417104649E-2</v>
      </c>
      <c r="F81" s="80">
        <v>0.28159250084650611</v>
      </c>
      <c r="G81" s="83">
        <v>4033953</v>
      </c>
      <c r="H81" s="17">
        <v>4095428</v>
      </c>
      <c r="I81" s="33">
        <f t="shared" si="6"/>
        <v>-1.5010641134455271E-2</v>
      </c>
      <c r="J81" s="44">
        <v>0.12576856786281221</v>
      </c>
    </row>
    <row r="82" spans="1:10" x14ac:dyDescent="0.2">
      <c r="A82" s="24" t="str">
        <f>VLOOKUP("&lt;Zeilentitel_56&gt;",Uebersetzungen!$B$4:$E$78,Uebersetzungen!$B$2+1,FALSE)</f>
        <v>Zürich Region</v>
      </c>
      <c r="B82" s="7"/>
      <c r="C82" s="14">
        <v>545911</v>
      </c>
      <c r="D82" s="18">
        <v>531663</v>
      </c>
      <c r="E82" s="43">
        <f t="shared" si="5"/>
        <v>2.679893090171781E-2</v>
      </c>
      <c r="F82" s="11">
        <v>0.36922062091486874</v>
      </c>
      <c r="G82" s="84">
        <v>6686552</v>
      </c>
      <c r="H82" s="18">
        <v>6398680</v>
      </c>
      <c r="I82" s="43">
        <f t="shared" si="6"/>
        <v>4.4989279038801788E-2</v>
      </c>
      <c r="J82" s="48">
        <v>0.46479393566663663</v>
      </c>
    </row>
    <row r="83" spans="1:10" ht="13.5" thickBot="1" x14ac:dyDescent="0.25">
      <c r="A83" s="71" t="str">
        <f>VLOOKUP("&lt;Zeilentitel_57&gt;",Uebersetzungen!$B$4:$E$78,Uebersetzungen!$B$2+1,FALSE)</f>
        <v>Schweiz</v>
      </c>
      <c r="B83" s="39"/>
      <c r="C83" s="30">
        <v>2391447</v>
      </c>
      <c r="D83" s="40">
        <v>2255803</v>
      </c>
      <c r="E83" s="41">
        <f t="shared" si="5"/>
        <v>6.013113733779063E-2</v>
      </c>
      <c r="F83" s="86">
        <v>0.31476350225793581</v>
      </c>
      <c r="G83" s="79">
        <v>39493226</v>
      </c>
      <c r="H83" s="40">
        <v>38640664</v>
      </c>
      <c r="I83" s="41">
        <f t="shared" si="6"/>
        <v>2.206385480332318E-2</v>
      </c>
      <c r="J83" s="45">
        <v>0.23284270680300656</v>
      </c>
    </row>
    <row r="84" spans="1:10" x14ac:dyDescent="0.2">
      <c r="A84" s="34"/>
      <c r="B84" s="35"/>
      <c r="C84" s="29"/>
      <c r="D84" s="36"/>
      <c r="E84" s="37"/>
      <c r="F84" s="38"/>
    </row>
    <row r="85" spans="1:10" x14ac:dyDescent="0.2">
      <c r="A85" s="4" t="str">
        <f>VLOOKUP("&lt;Quelle_1&gt;",Uebersetzungen!$B$4:$E$86,Uebersetzungen!$B$2+1,FALSE)</f>
        <v>Quelle: BFS (HESTA)</v>
      </c>
    </row>
    <row r="86" spans="1:10" ht="12.75" customHeight="1" x14ac:dyDescent="0.2">
      <c r="A86" s="4" t="str">
        <f>VLOOKUP("&lt;T11Aktualisierung&gt;",Uebersetzungen!$B$4:$E$304,Uebersetzungen!$B$2+1,FALSE)</f>
        <v>Letztmals aktualisiert am: 16.01.2025</v>
      </c>
    </row>
    <row r="87" spans="1:10" x14ac:dyDescent="0.2">
      <c r="A87" s="4" t="str">
        <f>VLOOKUP("&lt;Legende_2&gt;",Uebersetzungen!$B$4:$E$86,Uebersetzungen!$B$2+1,FALSE)</f>
        <v>Kontakt: Luzius Stricker, 081 257 23 74, luzius.stricker@awt.gr.ch</v>
      </c>
    </row>
    <row r="88" spans="1:10" x14ac:dyDescent="0.2">
      <c r="A88" s="31" t="str">
        <f>VLOOKUP("&lt;T11Legende_3&gt;",Uebersetzungen!$B$4:$E$304,Uebersetzungen!$B$2+1,FALSE)</f>
        <v>Daten des Dezember 2024 erscheinen am 20. Februar 2025.</v>
      </c>
    </row>
    <row r="90" spans="1:10" x14ac:dyDescent="0.2">
      <c r="A90" s="4" t="s">
        <v>55</v>
      </c>
    </row>
  </sheetData>
  <sheetProtection sheet="1" objects="1" scenarios="1"/>
  <mergeCells count="1">
    <mergeCell ref="A7:D7"/>
  </mergeCells>
  <hyperlinks>
    <hyperlink ref="E63" r:id="rId1"/>
  </hyperlinks>
  <pageMargins left="0.70866141732283472" right="0.70866141732283472" top="0.78740157480314965" bottom="0.78740157480314965" header="0.31496062992125984" footer="0.31496062992125984"/>
  <pageSetup paperSize="9" scale="90" fitToHeight="2" orientation="landscape" r:id="rId2"/>
  <rowBreaks count="2" manualBreakCount="2">
    <brk id="38" max="9" man="1"/>
    <brk id="65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1"/>
  <dimension ref="A1:J90"/>
  <sheetViews>
    <sheetView zoomScaleNormal="100" workbookViewId="0">
      <selection activeCell="A64" sqref="A64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24" t="str">
        <f>VLOOKUP("&lt;Fachbereich&gt;",Uebersetzungen!$B$4:$E$304,Uebersetzungen!$B$2+1,FALSE)</f>
        <v>Daten &amp; Statistik</v>
      </c>
      <c r="B7" s="124"/>
      <c r="C7" s="124"/>
      <c r="D7" s="124"/>
      <c r="E7" s="95"/>
      <c r="F7" s="1"/>
    </row>
    <row r="8" spans="1:10" ht="10.5" customHeight="1" x14ac:dyDescent="0.2"/>
    <row r="9" spans="1:10" ht="18" x14ac:dyDescent="0.25">
      <c r="A9" s="2" t="str">
        <f>VLOOKUP("&lt;T10Titel1&gt;",Uebersetzungen!$B$4:$E$304,Uebersetzungen!$B$2+1,FALSE)</f>
        <v>Hotel- und Kurbetriebe: Logiernächte im Oktober 2024, nach Herkunft</v>
      </c>
      <c r="B9" s="3"/>
      <c r="C9" s="3"/>
      <c r="D9" s="3"/>
      <c r="E9" s="3"/>
      <c r="F9" s="3"/>
    </row>
    <row r="10" spans="1:10" s="123" customFormat="1" x14ac:dyDescent="0.2">
      <c r="A10" s="120" t="str">
        <f>VLOOKUP("&lt;Titelprov&gt;",Uebersetzungen!$B$4:$E$304,Uebersetzungen!$B$2+1,FALSE)</f>
        <v>definitive Ergebnisse</v>
      </c>
      <c r="B10" s="121"/>
      <c r="C10" s="122"/>
      <c r="D10" s="122"/>
      <c r="E10" s="122"/>
      <c r="F10" s="122"/>
      <c r="G10" s="122"/>
    </row>
    <row r="11" spans="1:10" ht="13.5" thickBot="1" x14ac:dyDescent="0.25"/>
    <row r="12" spans="1:10" ht="51" x14ac:dyDescent="0.2">
      <c r="A12" s="8"/>
      <c r="B12" s="9"/>
      <c r="C12" s="20" t="str">
        <f>VLOOKUP("&lt;T10SpaltenTitel_1&gt;",Uebersetzungen!$B$4:$E$304,Uebersetzungen!$B$2+1,FALSE)</f>
        <v>Oktober 2024</v>
      </c>
      <c r="D12" s="21" t="str">
        <f>VLOOKUP("&lt;T10SpaltenTitel_2&gt;",Uebersetzungen!$B$4:$E$304,Uebersetzungen!$B$2+1,FALSE)</f>
        <v>Oktober 2023</v>
      </c>
      <c r="E12" s="22" t="str">
        <f>VLOOKUP("&lt;SpaltenTitel_3&gt;",Uebersetzungen!$B$4:$E$304,Uebersetzungen!$B$2+1,FALSE)</f>
        <v>Veränderung 24/23 in %</v>
      </c>
      <c r="F12" s="22" t="str">
        <f>VLOOKUP("&lt;SpaltenTitel_4&gt;",Uebersetzungen!$B$4:$E$304,Uebersetzungen!$B$2+1,FALSE)</f>
        <v>Veränderung zum
5-Jahresmittel 
in %</v>
      </c>
      <c r="G12" s="75" t="str">
        <f>VLOOKUP("&lt;T10SpaltenTitel_5&gt;",Uebersetzungen!$B$4:$E$304,Uebersetzungen!$B$2+1,FALSE)</f>
        <v>Januar-Oktober 24</v>
      </c>
      <c r="H12" s="22" t="str">
        <f>VLOOKUP("&lt;T10SpaltenTitel_6&gt;",Uebersetzungen!$B$4:$E$304,Uebersetzungen!$B$2+1,FALSE)</f>
        <v>Januar-Oktober 23</v>
      </c>
      <c r="I12" s="22" t="str">
        <f>VLOOKUP("&lt;SpaltenTitel_7&gt;",Uebersetzungen!$B$4:$E$304,Uebersetzungen!$B$2+1,FALSE)</f>
        <v>Veränderung 24/23 in %</v>
      </c>
      <c r="J12" s="23" t="str">
        <f>VLOOKUP("&lt;SpaltenTitel_8&gt;",Uebersetzungen!$B$4:$E$304,Uebersetzungen!$B$2+1,FALSE)</f>
        <v>Veränderung zum
5-Jahresmittel 
in %</v>
      </c>
    </row>
    <row r="13" spans="1:10" x14ac:dyDescent="0.2">
      <c r="A13" s="24" t="str">
        <f>VLOOKUP("&lt;Zeilentitel_1&gt;",Uebersetzungen!$B$4:$E$78,Uebersetzungen!$B$2+1,FALSE)</f>
        <v>Schweiz</v>
      </c>
      <c r="B13" s="5"/>
      <c r="C13" s="51">
        <v>255469</v>
      </c>
      <c r="D13" s="52">
        <v>267362</v>
      </c>
      <c r="E13" s="53">
        <f t="shared" ref="E13:E36" si="0">C13/D13-1</f>
        <v>-4.4482761200170584E-2</v>
      </c>
      <c r="F13" s="72">
        <v>-0.10958550793941801</v>
      </c>
      <c r="G13" s="76">
        <v>3071954</v>
      </c>
      <c r="H13" s="52">
        <v>3108518</v>
      </c>
      <c r="I13" s="53">
        <f t="shared" ref="I13:I36" si="1">G13/H13-1</f>
        <v>-1.1762518344754613E-2</v>
      </c>
      <c r="J13" s="54">
        <v>-4.2278428794330303E-2</v>
      </c>
    </row>
    <row r="14" spans="1:10" x14ac:dyDescent="0.2">
      <c r="A14" s="24" t="str">
        <f>VLOOKUP("&lt;Zeilentitel_2&gt;",Uebersetzungen!$B$4:$E$78,Uebersetzungen!$B$2+1,FALSE)</f>
        <v>Deutschland</v>
      </c>
      <c r="B14" s="5"/>
      <c r="C14" s="51">
        <v>25414</v>
      </c>
      <c r="D14" s="52">
        <v>24922</v>
      </c>
      <c r="E14" s="53">
        <f t="shared" si="0"/>
        <v>1.9741593772570454E-2</v>
      </c>
      <c r="F14" s="72">
        <v>5.4094185766783598E-2</v>
      </c>
      <c r="G14" s="76">
        <v>673947</v>
      </c>
      <c r="H14" s="52">
        <v>652613</v>
      </c>
      <c r="I14" s="53">
        <f t="shared" si="1"/>
        <v>3.2690124162405576E-2</v>
      </c>
      <c r="J14" s="54">
        <v>0.12023790804217893</v>
      </c>
    </row>
    <row r="15" spans="1:10" x14ac:dyDescent="0.2">
      <c r="A15" s="24" t="str">
        <f>VLOOKUP("&lt;Zeilentitel_3&gt;",Uebersetzungen!$B$4:$E$78,Uebersetzungen!$B$2+1,FALSE)</f>
        <v>Italien</v>
      </c>
      <c r="B15" s="5"/>
      <c r="C15" s="51">
        <v>3278</v>
      </c>
      <c r="D15" s="52">
        <v>3300</v>
      </c>
      <c r="E15" s="53">
        <f t="shared" si="0"/>
        <v>-6.6666666666667096E-3</v>
      </c>
      <c r="F15" s="72">
        <v>-3.5201318577819607E-2</v>
      </c>
      <c r="G15" s="76">
        <v>85461</v>
      </c>
      <c r="H15" s="52">
        <v>80608</v>
      </c>
      <c r="I15" s="53">
        <f t="shared" si="1"/>
        <v>6.0204942437475095E-2</v>
      </c>
      <c r="J15" s="54">
        <v>0.23720966593124015</v>
      </c>
    </row>
    <row r="16" spans="1:10" x14ac:dyDescent="0.2">
      <c r="A16" s="24" t="str">
        <f>VLOOKUP("&lt;Zeilentitel_4&gt;",Uebersetzungen!$B$4:$E$78,Uebersetzungen!$B$2+1,FALSE)</f>
        <v>Frankreich</v>
      </c>
      <c r="B16" s="5"/>
      <c r="C16" s="51">
        <v>2290</v>
      </c>
      <c r="D16" s="52">
        <v>1478</v>
      </c>
      <c r="E16" s="53">
        <f t="shared" si="0"/>
        <v>0.5493910690121786</v>
      </c>
      <c r="F16" s="72">
        <v>0.65247510463270308</v>
      </c>
      <c r="G16" s="76">
        <v>56293</v>
      </c>
      <c r="H16" s="52">
        <v>48298</v>
      </c>
      <c r="I16" s="53">
        <f t="shared" si="1"/>
        <v>0.1655348047538201</v>
      </c>
      <c r="J16" s="54">
        <v>0.28444239597689069</v>
      </c>
    </row>
    <row r="17" spans="1:10" x14ac:dyDescent="0.2">
      <c r="A17" s="24" t="str">
        <f>VLOOKUP("&lt;Zeilentitel_5&gt;",Uebersetzungen!$B$4:$E$78,Uebersetzungen!$B$2+1,FALSE)</f>
        <v>Österreich</v>
      </c>
      <c r="B17" s="5"/>
      <c r="C17" s="51">
        <v>4113</v>
      </c>
      <c r="D17" s="52">
        <v>2022</v>
      </c>
      <c r="E17" s="53">
        <f t="shared" si="0"/>
        <v>1.0341246290801185</v>
      </c>
      <c r="F17" s="72">
        <v>0.85470779220779236</v>
      </c>
      <c r="G17" s="76">
        <v>45628</v>
      </c>
      <c r="H17" s="52">
        <v>41616</v>
      </c>
      <c r="I17" s="53">
        <f t="shared" si="1"/>
        <v>9.6405228758170036E-2</v>
      </c>
      <c r="J17" s="54">
        <v>0.2413552940152246</v>
      </c>
    </row>
    <row r="18" spans="1:10" x14ac:dyDescent="0.2">
      <c r="A18" s="24" t="str">
        <f>VLOOKUP("&lt;Zeilentitel_6&gt;",Uebersetzungen!$B$4:$E$78,Uebersetzungen!$B$2+1,FALSE)</f>
        <v>Niederlande</v>
      </c>
      <c r="B18" s="5"/>
      <c r="C18" s="51">
        <v>5051</v>
      </c>
      <c r="D18" s="52">
        <v>3968</v>
      </c>
      <c r="E18" s="53">
        <f t="shared" si="0"/>
        <v>0.2729334677419355</v>
      </c>
      <c r="F18" s="72">
        <v>0.60257630560314723</v>
      </c>
      <c r="G18" s="76">
        <v>93733</v>
      </c>
      <c r="H18" s="52">
        <v>91376</v>
      </c>
      <c r="I18" s="53">
        <f t="shared" si="1"/>
        <v>2.5794519348625533E-2</v>
      </c>
      <c r="J18" s="54">
        <v>0.24048458476263068</v>
      </c>
    </row>
    <row r="19" spans="1:10" x14ac:dyDescent="0.2">
      <c r="A19" s="24" t="str">
        <f>VLOOKUP("&lt;Zeilentitel_7&gt;",Uebersetzungen!$B$4:$E$78,Uebersetzungen!$B$2+1,FALSE)</f>
        <v>Belgien</v>
      </c>
      <c r="B19" s="5"/>
      <c r="C19" s="51">
        <v>2940</v>
      </c>
      <c r="D19" s="52">
        <v>1143</v>
      </c>
      <c r="E19" s="53">
        <f t="shared" si="0"/>
        <v>1.5721784776902887</v>
      </c>
      <c r="F19" s="72">
        <v>2.7886597938144329</v>
      </c>
      <c r="G19" s="76">
        <v>97281</v>
      </c>
      <c r="H19" s="52">
        <v>130896</v>
      </c>
      <c r="I19" s="53">
        <f t="shared" si="1"/>
        <v>-0.25680693069306926</v>
      </c>
      <c r="J19" s="54">
        <v>-0.1300961462796969</v>
      </c>
    </row>
    <row r="20" spans="1:10" x14ac:dyDescent="0.2">
      <c r="A20" s="24" t="str">
        <f>VLOOKUP("&lt;Zeilentitel_8&gt;",Uebersetzungen!$B$4:$E$78,Uebersetzungen!$B$2+1,FALSE)</f>
        <v>Luxemburg</v>
      </c>
      <c r="B20" s="5"/>
      <c r="C20" s="51">
        <v>221</v>
      </c>
      <c r="D20" s="52">
        <v>333</v>
      </c>
      <c r="E20" s="53">
        <f t="shared" si="0"/>
        <v>-0.33633633633633631</v>
      </c>
      <c r="F20" s="72">
        <v>0.13101330603889449</v>
      </c>
      <c r="G20" s="76">
        <v>12917</v>
      </c>
      <c r="H20" s="52">
        <v>12766</v>
      </c>
      <c r="I20" s="53">
        <f t="shared" si="1"/>
        <v>1.1828293905687071E-2</v>
      </c>
      <c r="J20" s="54">
        <v>5.9778149716123608E-2</v>
      </c>
    </row>
    <row r="21" spans="1:10" x14ac:dyDescent="0.2">
      <c r="A21" s="24" t="str">
        <f>VLOOKUP("&lt;Zeilentitel_9&gt;",Uebersetzungen!$B$4:$E$78,Uebersetzungen!$B$2+1,FALSE)</f>
        <v>Vereinigtes Königreich</v>
      </c>
      <c r="B21" s="5"/>
      <c r="C21" s="51">
        <v>5995</v>
      </c>
      <c r="D21" s="52">
        <v>4227</v>
      </c>
      <c r="E21" s="53">
        <f t="shared" si="0"/>
        <v>0.41826354388455167</v>
      </c>
      <c r="F21" s="72">
        <v>1.1207726050657985</v>
      </c>
      <c r="G21" s="76">
        <v>142982</v>
      </c>
      <c r="H21" s="52">
        <v>135353</v>
      </c>
      <c r="I21" s="53">
        <f t="shared" si="1"/>
        <v>5.6363730393859113E-2</v>
      </c>
      <c r="J21" s="54">
        <v>0.43069844884759223</v>
      </c>
    </row>
    <row r="22" spans="1:10" x14ac:dyDescent="0.2">
      <c r="A22" s="24" t="str">
        <f>VLOOKUP("&lt;Zeilentitel_10&gt;",Uebersetzungen!$B$4:$E$78,Uebersetzungen!$B$2+1,FALSE)</f>
        <v>Vereinigte Staaten</v>
      </c>
      <c r="B22" s="5"/>
      <c r="C22" s="51">
        <v>6082</v>
      </c>
      <c r="D22" s="52">
        <v>4943</v>
      </c>
      <c r="E22" s="53">
        <f t="shared" si="0"/>
        <v>0.2304268662755411</v>
      </c>
      <c r="F22" s="72">
        <v>0.86518645731108923</v>
      </c>
      <c r="G22" s="76">
        <v>132258</v>
      </c>
      <c r="H22" s="52">
        <v>115536</v>
      </c>
      <c r="I22" s="53">
        <f t="shared" si="1"/>
        <v>0.1447341088491898</v>
      </c>
      <c r="J22" s="54">
        <v>0.78991644404024286</v>
      </c>
    </row>
    <row r="23" spans="1:10" x14ac:dyDescent="0.2">
      <c r="A23" s="24" t="str">
        <f>VLOOKUP("&lt;Zeilentitel_11&gt;",Uebersetzungen!$B$4:$E$78,Uebersetzungen!$B$2+1,FALSE)</f>
        <v>Polen</v>
      </c>
      <c r="B23" s="5"/>
      <c r="C23" s="51">
        <v>631</v>
      </c>
      <c r="D23" s="52">
        <v>386</v>
      </c>
      <c r="E23" s="53">
        <f t="shared" si="0"/>
        <v>0.63471502590673579</v>
      </c>
      <c r="F23" s="72">
        <v>0.43539581437670605</v>
      </c>
      <c r="G23" s="76">
        <v>26941</v>
      </c>
      <c r="H23" s="52">
        <v>24465</v>
      </c>
      <c r="I23" s="53">
        <f t="shared" si="1"/>
        <v>0.10120580421009606</v>
      </c>
      <c r="J23" s="54">
        <v>-0.26383067094397783</v>
      </c>
    </row>
    <row r="24" spans="1:10" x14ac:dyDescent="0.2">
      <c r="A24" s="24" t="str">
        <f>VLOOKUP("&lt;Zeilentitel_12&gt;",Uebersetzungen!$B$4:$E$78,Uebersetzungen!$B$2+1,FALSE)</f>
        <v>Tschechien</v>
      </c>
      <c r="B24" s="5"/>
      <c r="C24" s="51">
        <v>450</v>
      </c>
      <c r="D24" s="52">
        <v>517</v>
      </c>
      <c r="E24" s="53">
        <f t="shared" si="0"/>
        <v>-0.12959381044487428</v>
      </c>
      <c r="F24" s="72">
        <v>0.34488942020322755</v>
      </c>
      <c r="G24" s="76">
        <v>19683</v>
      </c>
      <c r="H24" s="52">
        <v>19230</v>
      </c>
      <c r="I24" s="53">
        <f t="shared" si="1"/>
        <v>2.3556942277691117E-2</v>
      </c>
      <c r="J24" s="54">
        <v>0.28903180174988208</v>
      </c>
    </row>
    <row r="25" spans="1:10" x14ac:dyDescent="0.2">
      <c r="A25" s="24" t="str">
        <f>VLOOKUP("&lt;Zeilentitel_13&gt;",Uebersetzungen!$B$4:$E$78,Uebersetzungen!$B$2+1,FALSE)</f>
        <v>Russland</v>
      </c>
      <c r="B25" s="5"/>
      <c r="C25" s="51">
        <v>130</v>
      </c>
      <c r="D25" s="52">
        <v>71</v>
      </c>
      <c r="E25" s="53">
        <f t="shared" si="0"/>
        <v>0.83098591549295775</v>
      </c>
      <c r="F25" s="72">
        <v>-0.23258559622195984</v>
      </c>
      <c r="G25" s="76">
        <v>7329</v>
      </c>
      <c r="H25" s="52">
        <v>7581</v>
      </c>
      <c r="I25" s="53">
        <f t="shared" si="1"/>
        <v>-3.3240997229916913E-2</v>
      </c>
      <c r="J25" s="54">
        <v>-0.54835091697889959</v>
      </c>
    </row>
    <row r="26" spans="1:10" x14ac:dyDescent="0.2">
      <c r="A26" s="24" t="str">
        <f>VLOOKUP("&lt;Zeilentitel_14&gt;",Uebersetzungen!$B$4:$E$78,Uebersetzungen!$B$2+1,FALSE)</f>
        <v>Schweden</v>
      </c>
      <c r="B26" s="5"/>
      <c r="C26" s="51">
        <v>276</v>
      </c>
      <c r="D26" s="52">
        <v>350</v>
      </c>
      <c r="E26" s="53">
        <f t="shared" si="0"/>
        <v>-0.21142857142857141</v>
      </c>
      <c r="F26" s="72">
        <v>-0.28386092371562011</v>
      </c>
      <c r="G26" s="76">
        <v>14394</v>
      </c>
      <c r="H26" s="52">
        <v>15204</v>
      </c>
      <c r="I26" s="53">
        <f t="shared" si="1"/>
        <v>-5.3275453827939967E-2</v>
      </c>
      <c r="J26" s="54">
        <v>0.13260103235553311</v>
      </c>
    </row>
    <row r="27" spans="1:10" x14ac:dyDescent="0.2">
      <c r="A27" s="24" t="str">
        <f>VLOOKUP("&lt;Zeilentitel_15&gt;",Uebersetzungen!$B$4:$E$78,Uebersetzungen!$B$2+1,FALSE)</f>
        <v>Norwegen</v>
      </c>
      <c r="B27" s="5"/>
      <c r="C27" s="51">
        <v>192</v>
      </c>
      <c r="D27" s="52">
        <v>122</v>
      </c>
      <c r="E27" s="53">
        <f t="shared" si="0"/>
        <v>0.57377049180327866</v>
      </c>
      <c r="F27" s="72">
        <v>0.47239263803680975</v>
      </c>
      <c r="G27" s="76">
        <v>6474</v>
      </c>
      <c r="H27" s="52">
        <v>7625</v>
      </c>
      <c r="I27" s="53">
        <f t="shared" si="1"/>
        <v>-0.1509508196721312</v>
      </c>
      <c r="J27" s="54">
        <v>0.10795454545454564</v>
      </c>
    </row>
    <row r="28" spans="1:10" x14ac:dyDescent="0.2">
      <c r="A28" s="24" t="str">
        <f>VLOOKUP("&lt;Zeilentitel_16&gt;",Uebersetzungen!$B$4:$E$78,Uebersetzungen!$B$2+1,FALSE)</f>
        <v>Dänemark</v>
      </c>
      <c r="B28" s="5"/>
      <c r="C28" s="51">
        <v>950</v>
      </c>
      <c r="D28" s="52">
        <v>332</v>
      </c>
      <c r="E28" s="53">
        <f t="shared" si="0"/>
        <v>1.8614457831325302</v>
      </c>
      <c r="F28" s="72">
        <v>1.3773773773773774</v>
      </c>
      <c r="G28" s="76">
        <v>14168</v>
      </c>
      <c r="H28" s="52">
        <v>12282</v>
      </c>
      <c r="I28" s="53">
        <f t="shared" si="1"/>
        <v>0.15355805243445686</v>
      </c>
      <c r="J28" s="54">
        <v>0.28096633033163343</v>
      </c>
    </row>
    <row r="29" spans="1:10" x14ac:dyDescent="0.2">
      <c r="A29" s="24" t="str">
        <f>VLOOKUP("&lt;Zeilentitel_17&gt;",Uebersetzungen!$B$4:$E$78,Uebersetzungen!$B$2+1,FALSE)</f>
        <v>Finnland</v>
      </c>
      <c r="B29" s="5"/>
      <c r="C29" s="51">
        <v>291</v>
      </c>
      <c r="D29" s="52">
        <v>423</v>
      </c>
      <c r="E29" s="53">
        <f t="shared" si="0"/>
        <v>-0.31205673758865249</v>
      </c>
      <c r="F29" s="72">
        <v>0.14117647058823524</v>
      </c>
      <c r="G29" s="76">
        <v>6002</v>
      </c>
      <c r="H29" s="52">
        <v>7526</v>
      </c>
      <c r="I29" s="53">
        <f t="shared" si="1"/>
        <v>-0.2024980069093808</v>
      </c>
      <c r="J29" s="54">
        <v>9.2623607369110905E-2</v>
      </c>
    </row>
    <row r="30" spans="1:10" x14ac:dyDescent="0.2">
      <c r="A30" s="24" t="str">
        <f>VLOOKUP("&lt;Zeilentitel_18&gt;",Uebersetzungen!$B$4:$E$78,Uebersetzungen!$B$2+1,FALSE)</f>
        <v>Japan</v>
      </c>
      <c r="B30" s="5"/>
      <c r="C30" s="51">
        <v>494</v>
      </c>
      <c r="D30" s="52">
        <v>791</v>
      </c>
      <c r="E30" s="53">
        <f t="shared" si="0"/>
        <v>-0.37547408343868516</v>
      </c>
      <c r="F30" s="72">
        <v>3.2608695652174058E-2</v>
      </c>
      <c r="G30" s="76">
        <v>15995</v>
      </c>
      <c r="H30" s="52">
        <v>14846</v>
      </c>
      <c r="I30" s="53">
        <f t="shared" si="1"/>
        <v>7.7394584399838262E-2</v>
      </c>
      <c r="J30" s="54">
        <v>0.40739111306643205</v>
      </c>
    </row>
    <row r="31" spans="1:10" x14ac:dyDescent="0.2">
      <c r="A31" s="24" t="str">
        <f>VLOOKUP("&lt;Zeilentitel_19&gt;",Uebersetzungen!$B$4:$E$78,Uebersetzungen!$B$2+1,FALSE)</f>
        <v>China / Hongkong / Taiwan (Chin. Taipei)</v>
      </c>
      <c r="B31" s="5"/>
      <c r="C31" s="51">
        <v>3305</v>
      </c>
      <c r="D31" s="52">
        <v>3321</v>
      </c>
      <c r="E31" s="53">
        <f t="shared" si="0"/>
        <v>-4.8178259560373027E-3</v>
      </c>
      <c r="F31" s="72">
        <v>0.8137416309954999</v>
      </c>
      <c r="G31" s="76">
        <v>37173</v>
      </c>
      <c r="H31" s="52">
        <v>28756</v>
      </c>
      <c r="I31" s="53">
        <f t="shared" si="1"/>
        <v>0.29270413131172623</v>
      </c>
      <c r="J31" s="54">
        <v>0.88910232955238433</v>
      </c>
    </row>
    <row r="32" spans="1:10" x14ac:dyDescent="0.2">
      <c r="A32" s="24" t="str">
        <f>VLOOKUP("&lt;Zeilentitel_20&gt;",Uebersetzungen!$B$4:$E$78,Uebersetzungen!$B$2+1,FALSE)</f>
        <v xml:space="preserve">Indien </v>
      </c>
      <c r="B32" s="5"/>
      <c r="C32" s="59">
        <v>500</v>
      </c>
      <c r="D32" s="52">
        <v>342</v>
      </c>
      <c r="E32" s="53">
        <f t="shared" si="0"/>
        <v>0.46198830409356728</v>
      </c>
      <c r="F32" s="72">
        <v>0.17813383600377009</v>
      </c>
      <c r="G32" s="77">
        <v>11651</v>
      </c>
      <c r="H32" s="52">
        <v>10456</v>
      </c>
      <c r="I32" s="53">
        <f t="shared" si="1"/>
        <v>0.11428844682478956</v>
      </c>
      <c r="J32" s="54">
        <v>0.61532275953859794</v>
      </c>
    </row>
    <row r="33" spans="1:10" x14ac:dyDescent="0.2">
      <c r="A33" s="24" t="str">
        <f>VLOOKUP("&lt;Zeilentitel_21&gt;",Uebersetzungen!$B$4:$E$78,Uebersetzungen!$B$2+1,FALSE)</f>
        <v>Brasilien</v>
      </c>
      <c r="B33" s="5"/>
      <c r="C33" s="51">
        <v>1237</v>
      </c>
      <c r="D33" s="52">
        <v>593</v>
      </c>
      <c r="E33" s="53">
        <f t="shared" si="0"/>
        <v>1.0860033726812817</v>
      </c>
      <c r="F33" s="72">
        <v>2.1205852674066601</v>
      </c>
      <c r="G33" s="76">
        <v>24991</v>
      </c>
      <c r="H33" s="52">
        <v>18179</v>
      </c>
      <c r="I33" s="53">
        <f t="shared" si="1"/>
        <v>0.37471808130260187</v>
      </c>
      <c r="J33" s="54">
        <v>0.95737648422569621</v>
      </c>
    </row>
    <row r="34" spans="1:10" x14ac:dyDescent="0.2">
      <c r="A34" s="24" t="str">
        <f>VLOOKUP("&lt;Zeilentitel_22&gt;",Uebersetzungen!$B$4:$E$78,Uebersetzungen!$B$2+1,FALSE)</f>
        <v>Golfstaaten</v>
      </c>
      <c r="B34" s="5"/>
      <c r="C34" s="59">
        <v>543</v>
      </c>
      <c r="D34" s="55">
        <v>380</v>
      </c>
      <c r="E34" s="53">
        <f t="shared" si="0"/>
        <v>0.42894736842105252</v>
      </c>
      <c r="F34" s="72">
        <v>0.88541666666666674</v>
      </c>
      <c r="G34" s="77">
        <v>25291</v>
      </c>
      <c r="H34" s="55">
        <v>19868</v>
      </c>
      <c r="I34" s="53">
        <f t="shared" si="1"/>
        <v>0.27295147976645873</v>
      </c>
      <c r="J34" s="54">
        <v>0.95236992434769174</v>
      </c>
    </row>
    <row r="35" spans="1:10" x14ac:dyDescent="0.2">
      <c r="A35" s="24" t="str">
        <f>VLOOKUP("&lt;Zeilentitel_23&gt;",Uebersetzungen!$B$4:$E$78,Uebersetzungen!$B$2+1,FALSE)</f>
        <v>Übrige Herkunftsländer</v>
      </c>
      <c r="B35" s="5"/>
      <c r="C35" s="56">
        <f>C36-SUM(C13:C34)</f>
        <v>10173</v>
      </c>
      <c r="D35" s="57">
        <f>D36-SUM(D13:D34)</f>
        <v>8354</v>
      </c>
      <c r="E35" s="53">
        <f t="shared" si="0"/>
        <v>0.2177400047881255</v>
      </c>
      <c r="F35" s="73" t="s">
        <v>50</v>
      </c>
      <c r="G35" s="78">
        <f>G36-SUM(G13:G34)</f>
        <v>210747</v>
      </c>
      <c r="H35" s="57">
        <f>H36-SUM(H13:H34)</f>
        <v>190102</v>
      </c>
      <c r="I35" s="53">
        <f t="shared" si="1"/>
        <v>0.10859959390222085</v>
      </c>
      <c r="J35" s="58" t="s">
        <v>50</v>
      </c>
    </row>
    <row r="36" spans="1:10" ht="13.5" thickBot="1" x14ac:dyDescent="0.25">
      <c r="A36" s="26" t="str">
        <f>VLOOKUP("&lt;Zeilentitel_24&gt;",Uebersetzungen!$B$4:$E$78,Uebersetzungen!$B$2+1,FALSE)</f>
        <v>Graubünden</v>
      </c>
      <c r="B36" s="25"/>
      <c r="C36" s="30">
        <f>C61</f>
        <v>330025</v>
      </c>
      <c r="D36" s="19">
        <f>D61</f>
        <v>329680</v>
      </c>
      <c r="E36" s="12">
        <f t="shared" si="0"/>
        <v>1.0464693035669992E-3</v>
      </c>
      <c r="F36" s="74">
        <f>F61</f>
        <v>-2.8402644193261328E-2</v>
      </c>
      <c r="G36" s="79">
        <f t="shared" ref="G36:H36" si="2">G61</f>
        <v>4833293</v>
      </c>
      <c r="H36" s="19">
        <f t="shared" si="2"/>
        <v>4793700</v>
      </c>
      <c r="I36" s="12">
        <f t="shared" si="1"/>
        <v>8.2593821056804462E-3</v>
      </c>
      <c r="J36" s="47">
        <f>J61</f>
        <v>4.3693987175499549E-2</v>
      </c>
    </row>
    <row r="37" spans="1:10" x14ac:dyDescent="0.2">
      <c r="C37" s="15"/>
      <c r="D37" s="16"/>
      <c r="E37" s="28"/>
      <c r="F37" s="27"/>
      <c r="I37" s="15"/>
      <c r="J37" s="15"/>
    </row>
    <row r="38" spans="1:10" x14ac:dyDescent="0.2">
      <c r="C38" s="15"/>
    </row>
    <row r="39" spans="1:10" ht="18" x14ac:dyDescent="0.25">
      <c r="A39" s="2" t="str">
        <f>VLOOKUP("&lt;T10Titel2&gt;",Uebersetzungen!$B$4:$E$304,Uebersetzungen!$B$2+1,FALSE)</f>
        <v>Hotel- und Kurbetriebe: Logiernächte im Oktober 2024, nach Destinationen</v>
      </c>
      <c r="B39" s="3"/>
      <c r="C39" s="3"/>
      <c r="D39" s="3"/>
      <c r="E39" s="3"/>
      <c r="F39" s="3"/>
    </row>
    <row r="40" spans="1:10" s="123" customFormat="1" x14ac:dyDescent="0.2">
      <c r="A40" s="120" t="str">
        <f>VLOOKUP("&lt;Titelprov&gt;",Uebersetzungen!$B$4:$E$304,Uebersetzungen!$B$2+1,FALSE)</f>
        <v>definitive Ergebnisse</v>
      </c>
      <c r="B40" s="121"/>
      <c r="C40" s="122"/>
      <c r="D40" s="122"/>
      <c r="E40" s="122"/>
      <c r="F40" s="122"/>
      <c r="G40" s="122"/>
    </row>
    <row r="41" spans="1:10" ht="13.5" thickBot="1" x14ac:dyDescent="0.25"/>
    <row r="42" spans="1:10" ht="51" x14ac:dyDescent="0.2">
      <c r="A42" s="8"/>
      <c r="B42" s="9"/>
      <c r="C42" s="20" t="str">
        <f>VLOOKUP("&lt;T10SpaltenTitel_1&gt;",Uebersetzungen!$B$4:$E$304,Uebersetzungen!$B$2+1,FALSE)</f>
        <v>Oktober 2024</v>
      </c>
      <c r="D42" s="21" t="str">
        <f>VLOOKUP("&lt;T10SpaltenTitel_2&gt;",Uebersetzungen!$B$4:$E$304,Uebersetzungen!$B$2+1,FALSE)</f>
        <v>Oktober 2023</v>
      </c>
      <c r="E42" s="22" t="str">
        <f>VLOOKUP("&lt;SpaltenTitel_3&gt;",Uebersetzungen!$B$4:$E$304,Uebersetzungen!$B$2+1,FALSE)</f>
        <v>Veränderung 24/23 in %</v>
      </c>
      <c r="F42" s="22" t="str">
        <f>VLOOKUP("&lt;SpaltenTitel_4&gt;",Uebersetzungen!$B$4:$E$304,Uebersetzungen!$B$2+1,FALSE)</f>
        <v>Veränderung zum
5-Jahresmittel 
in %</v>
      </c>
      <c r="G42" s="75" t="str">
        <f>VLOOKUP("&lt;T10SpaltenTitel_5&gt;",Uebersetzungen!$B$4:$E$304,Uebersetzungen!$B$2+1,FALSE)</f>
        <v>Januar-Oktober 24</v>
      </c>
      <c r="H42" s="22" t="str">
        <f>VLOOKUP("&lt;T10SpaltenTitel_6&gt;",Uebersetzungen!$B$4:$E$304,Uebersetzungen!$B$2+1,FALSE)</f>
        <v>Januar-Oktober 23</v>
      </c>
      <c r="I42" s="22" t="str">
        <f>VLOOKUP("&lt;SpaltenTitel_7&gt;",Uebersetzungen!$B$4:$E$304,Uebersetzungen!$B$2+1,FALSE)</f>
        <v>Veränderung 24/23 in %</v>
      </c>
      <c r="J42" s="23" t="str">
        <f>VLOOKUP("&lt;SpaltenTitel_8&gt;",Uebersetzungen!$B$4:$E$304,Uebersetzungen!$B$2+1,FALSE)</f>
        <v>Veränderung zum
5-Jahresmittel 
in %</v>
      </c>
    </row>
    <row r="43" spans="1:10" x14ac:dyDescent="0.2">
      <c r="A43" s="24" t="str">
        <f>VLOOKUP("&lt;Zeilentitel_25&gt;",Uebersetzungen!$B$4:$E$78,Uebersetzungen!$B$2+1,FALSE)</f>
        <v>Arosa</v>
      </c>
      <c r="B43" s="5"/>
      <c r="C43" s="13">
        <v>12351</v>
      </c>
      <c r="D43" s="17">
        <v>13314</v>
      </c>
      <c r="E43" s="10">
        <f>C43/D43-1</f>
        <v>-7.2329878323569186E-2</v>
      </c>
      <c r="F43" s="80">
        <v>-5.8182095470489581E-2</v>
      </c>
      <c r="G43" s="83">
        <v>367695</v>
      </c>
      <c r="H43" s="17">
        <v>346863</v>
      </c>
      <c r="I43" s="10">
        <f>G43/H43-1</f>
        <v>6.0058293908546112E-2</v>
      </c>
      <c r="J43" s="44">
        <v>0.10392066794563481</v>
      </c>
    </row>
    <row r="44" spans="1:10" x14ac:dyDescent="0.2">
      <c r="A44" s="24" t="str">
        <f>VLOOKUP("&lt;Zeilentitel_26&gt;",Uebersetzungen!$B$4:$E$78,Uebersetzungen!$B$2+1,FALSE)</f>
        <v>Bergün Filisur</v>
      </c>
      <c r="B44" s="5"/>
      <c r="C44" s="13">
        <v>4517</v>
      </c>
      <c r="D44" s="17">
        <v>5254</v>
      </c>
      <c r="E44" s="10">
        <f t="shared" ref="E44:E61" si="3">C44/D44-1</f>
        <v>-0.14027407689379523</v>
      </c>
      <c r="F44" s="80">
        <v>-0.16205988201684418</v>
      </c>
      <c r="G44" s="83">
        <v>53340</v>
      </c>
      <c r="H44" s="17">
        <v>58990</v>
      </c>
      <c r="I44" s="10">
        <f t="shared" ref="I44:I61" si="4">G44/H44-1</f>
        <v>-9.5778945583997244E-2</v>
      </c>
      <c r="J44" s="44">
        <v>-7.0501761759877768E-2</v>
      </c>
    </row>
    <row r="45" spans="1:10" x14ac:dyDescent="0.2">
      <c r="A45" s="24" t="str">
        <f>VLOOKUP("&lt;Zeilentitel_27&gt;",Uebersetzungen!$B$4:$E$78,Uebersetzungen!$B$2+1,FALSE)</f>
        <v>Bregaglia Engadin</v>
      </c>
      <c r="B45" s="5"/>
      <c r="C45" s="13">
        <v>4003</v>
      </c>
      <c r="D45" s="17">
        <v>4674</v>
      </c>
      <c r="E45" s="10">
        <f t="shared" si="3"/>
        <v>-0.14356011981172445</v>
      </c>
      <c r="F45" s="80">
        <v>-0.10000449660506316</v>
      </c>
      <c r="G45" s="83">
        <v>49942</v>
      </c>
      <c r="H45" s="17">
        <v>48722</v>
      </c>
      <c r="I45" s="10">
        <f t="shared" si="4"/>
        <v>2.5040022987562027E-2</v>
      </c>
      <c r="J45" s="44">
        <v>-1.870668084323901E-3</v>
      </c>
    </row>
    <row r="46" spans="1:10" x14ac:dyDescent="0.2">
      <c r="A46" s="24" t="str">
        <f>VLOOKUP("&lt;Zeilentitel_28&gt;",Uebersetzungen!$B$4:$E$78,Uebersetzungen!$B$2+1,FALSE)</f>
        <v>Bündner Herrschaft</v>
      </c>
      <c r="B46" s="5"/>
      <c r="C46" s="13">
        <v>5274</v>
      </c>
      <c r="D46" s="17">
        <v>5316</v>
      </c>
      <c r="E46" s="10">
        <f t="shared" si="3"/>
        <v>-7.900677200902928E-3</v>
      </c>
      <c r="F46" s="80">
        <v>0.11045605760727684</v>
      </c>
      <c r="G46" s="83">
        <v>51069</v>
      </c>
      <c r="H46" s="17">
        <v>47371</v>
      </c>
      <c r="I46" s="10">
        <f t="shared" si="4"/>
        <v>7.8064638703003952E-2</v>
      </c>
      <c r="J46" s="44">
        <v>0.24618110120935865</v>
      </c>
    </row>
    <row r="47" spans="1:10" x14ac:dyDescent="0.2">
      <c r="A47" s="24" t="str">
        <f>VLOOKUP("&lt;Zeilentitel_29&gt;",Uebersetzungen!$B$4:$E$78,Uebersetzungen!$B$2+1,FALSE)</f>
        <v>Chur</v>
      </c>
      <c r="B47" s="5"/>
      <c r="C47" s="13">
        <v>20837</v>
      </c>
      <c r="D47" s="17">
        <v>19719</v>
      </c>
      <c r="E47" s="10">
        <f t="shared" si="3"/>
        <v>5.6696587048024716E-2</v>
      </c>
      <c r="F47" s="80">
        <v>0.1877401187911123</v>
      </c>
      <c r="G47" s="83">
        <v>213888</v>
      </c>
      <c r="H47" s="17">
        <v>195996</v>
      </c>
      <c r="I47" s="10">
        <f t="shared" si="4"/>
        <v>9.1287577297495925E-2</v>
      </c>
      <c r="J47" s="44">
        <v>0.33706741348269675</v>
      </c>
    </row>
    <row r="48" spans="1:10" x14ac:dyDescent="0.2">
      <c r="A48" s="24" t="str">
        <f>VLOOKUP("&lt;Zeilentitel_30&gt;",Uebersetzungen!$B$4:$E$78,Uebersetzungen!$B$2+1,FALSE)</f>
        <v>Davos Klosters</v>
      </c>
      <c r="B48" s="5"/>
      <c r="C48" s="13">
        <v>46063</v>
      </c>
      <c r="D48" s="17">
        <v>43658</v>
      </c>
      <c r="E48" s="10">
        <f t="shared" si="3"/>
        <v>5.5087269229007196E-2</v>
      </c>
      <c r="F48" s="80">
        <v>6.2201376206025172E-2</v>
      </c>
      <c r="G48" s="83">
        <v>832641</v>
      </c>
      <c r="H48" s="17">
        <v>823232</v>
      </c>
      <c r="I48" s="10">
        <f t="shared" si="4"/>
        <v>1.1429341910907276E-2</v>
      </c>
      <c r="J48" s="44">
        <v>3.8766565988869406E-2</v>
      </c>
    </row>
    <row r="49" spans="1:10" x14ac:dyDescent="0.2">
      <c r="A49" s="24" t="str">
        <f>VLOOKUP("&lt;Zeilentitel_31&gt;",Uebersetzungen!$B$4:$E$78,Uebersetzungen!$B$2+1,FALSE)</f>
        <v>Disentis Sedrun</v>
      </c>
      <c r="B49" s="5"/>
      <c r="C49" s="13">
        <v>7331</v>
      </c>
      <c r="D49" s="17">
        <v>6546</v>
      </c>
      <c r="E49" s="10">
        <f t="shared" si="3"/>
        <v>0.11992056217537428</v>
      </c>
      <c r="F49" s="80">
        <v>-0.1855349405621598</v>
      </c>
      <c r="G49" s="83">
        <v>120822</v>
      </c>
      <c r="H49" s="17">
        <v>123768</v>
      </c>
      <c r="I49" s="10">
        <f t="shared" si="4"/>
        <v>-2.3802598409928266E-2</v>
      </c>
      <c r="J49" s="44">
        <v>2.9958843246302935E-2</v>
      </c>
    </row>
    <row r="50" spans="1:10" x14ac:dyDescent="0.2">
      <c r="A50" s="24" t="str">
        <f>VLOOKUP("&lt;Zeilentitel_32&gt;",Uebersetzungen!$B$4:$E$78,Uebersetzungen!$B$2+1,FALSE)</f>
        <v>Scuol Samnaun Val Müstair</v>
      </c>
      <c r="B50" s="5"/>
      <c r="C50" s="13">
        <v>44322</v>
      </c>
      <c r="D50" s="17">
        <v>45568</v>
      </c>
      <c r="E50" s="10">
        <f t="shared" si="3"/>
        <v>-2.734375E-2</v>
      </c>
      <c r="F50" s="80">
        <v>-8.3218189189412706E-2</v>
      </c>
      <c r="G50" s="83">
        <v>486729</v>
      </c>
      <c r="H50" s="17">
        <v>482455</v>
      </c>
      <c r="I50" s="10">
        <f t="shared" si="4"/>
        <v>8.8588573027537088E-3</v>
      </c>
      <c r="J50" s="44">
        <v>-1.2919499427701764E-2</v>
      </c>
    </row>
    <row r="51" spans="1:10" x14ac:dyDescent="0.2">
      <c r="A51" s="24" t="str">
        <f>VLOOKUP("&lt;Zeilentitel_33&gt;",Uebersetzungen!$B$4:$E$78,Uebersetzungen!$B$2+1,FALSE)</f>
        <v>Engadin St. Moritz</v>
      </c>
      <c r="B51" s="5"/>
      <c r="C51" s="13">
        <v>104985</v>
      </c>
      <c r="D51" s="17">
        <v>101513</v>
      </c>
      <c r="E51" s="10">
        <f t="shared" si="3"/>
        <v>3.4202515933919875E-2</v>
      </c>
      <c r="F51" s="80">
        <v>3.2969217054888977E-2</v>
      </c>
      <c r="G51" s="83">
        <v>1481333</v>
      </c>
      <c r="H51" s="17">
        <v>1483665</v>
      </c>
      <c r="I51" s="10">
        <f t="shared" si="4"/>
        <v>-1.5717833877593179E-3</v>
      </c>
      <c r="J51" s="44">
        <v>6.3592405259240703E-2</v>
      </c>
    </row>
    <row r="52" spans="1:10" x14ac:dyDescent="0.2">
      <c r="A52" s="24" t="str">
        <f>VLOOKUP("&lt;Zeilentitel_34&gt;",Uebersetzungen!$B$4:$E$78,Uebersetzungen!$B$2+1,FALSE)</f>
        <v>Flims Laax</v>
      </c>
      <c r="B52" s="5"/>
      <c r="C52" s="13">
        <v>25157</v>
      </c>
      <c r="D52" s="17">
        <v>24763</v>
      </c>
      <c r="E52" s="10">
        <f t="shared" si="3"/>
        <v>1.591083471308008E-2</v>
      </c>
      <c r="F52" s="80">
        <v>-0.12853253150612809</v>
      </c>
      <c r="G52" s="83">
        <v>415649</v>
      </c>
      <c r="H52" s="17">
        <v>428620</v>
      </c>
      <c r="I52" s="10">
        <f t="shared" si="4"/>
        <v>-3.0262236946479448E-2</v>
      </c>
      <c r="J52" s="44">
        <v>-5.6675413404796093E-2</v>
      </c>
    </row>
    <row r="53" spans="1:10" x14ac:dyDescent="0.2">
      <c r="A53" s="24" t="str">
        <f>VLOOKUP("&lt;Zeilentitel_35&gt;",Uebersetzungen!$B$4:$E$78,Uebersetzungen!$B$2+1,FALSE)</f>
        <v>Lenzerheide</v>
      </c>
      <c r="B53" s="5"/>
      <c r="C53" s="13">
        <v>21970</v>
      </c>
      <c r="D53" s="17">
        <v>21133</v>
      </c>
      <c r="E53" s="10">
        <f t="shared" si="3"/>
        <v>3.9606302938532068E-2</v>
      </c>
      <c r="F53" s="80">
        <v>-7.5391180654338585E-2</v>
      </c>
      <c r="G53" s="83">
        <v>287682</v>
      </c>
      <c r="H53" s="17">
        <v>277799</v>
      </c>
      <c r="I53" s="10">
        <f t="shared" si="4"/>
        <v>3.5576081987336083E-2</v>
      </c>
      <c r="J53" s="44">
        <v>3.9980958789178622E-3</v>
      </c>
    </row>
    <row r="54" spans="1:10" x14ac:dyDescent="0.2">
      <c r="A54" s="24" t="str">
        <f>VLOOKUP("&lt;Zeilentitel_36&gt;",Uebersetzungen!$B$4:$E$78,Uebersetzungen!$B$2+1,FALSE)</f>
        <v>Prättigau</v>
      </c>
      <c r="B54" s="5"/>
      <c r="C54" s="13">
        <v>4351</v>
      </c>
      <c r="D54" s="17">
        <v>5357</v>
      </c>
      <c r="E54" s="10">
        <f t="shared" si="3"/>
        <v>-0.18779167444465183</v>
      </c>
      <c r="F54" s="80">
        <v>-0.17117494666260291</v>
      </c>
      <c r="G54" s="83">
        <v>70246</v>
      </c>
      <c r="H54" s="17">
        <v>74704</v>
      </c>
      <c r="I54" s="10">
        <f t="shared" si="4"/>
        <v>-5.967551938316551E-2</v>
      </c>
      <c r="J54" s="44">
        <v>0.1137218343131472</v>
      </c>
    </row>
    <row r="55" spans="1:10" x14ac:dyDescent="0.2">
      <c r="A55" s="24" t="str">
        <f>VLOOKUP("&lt;Zeilentitel_37&gt;",Uebersetzungen!$B$4:$E$78,Uebersetzungen!$B$2+1,FALSE)</f>
        <v>San Bernardino, Mesolcina/Calanca</v>
      </c>
      <c r="B55" s="5"/>
      <c r="C55" s="13">
        <v>1297</v>
      </c>
      <c r="D55" s="17">
        <v>1077</v>
      </c>
      <c r="E55" s="10">
        <f t="shared" si="3"/>
        <v>0.20427112349117915</v>
      </c>
      <c r="F55" s="80">
        <v>-3.7976561341047321E-2</v>
      </c>
      <c r="G55" s="83">
        <v>21931</v>
      </c>
      <c r="H55" s="17">
        <v>21844</v>
      </c>
      <c r="I55" s="10">
        <f t="shared" si="4"/>
        <v>3.9827870353414951E-3</v>
      </c>
      <c r="J55" s="44">
        <v>3.9285375793763455E-2</v>
      </c>
    </row>
    <row r="56" spans="1:10" x14ac:dyDescent="0.2">
      <c r="A56" s="24" t="str">
        <f>VLOOKUP("&lt;Zeilentitel_38&gt;",Uebersetzungen!$B$4:$E$78,Uebersetzungen!$B$2+1,FALSE)</f>
        <v>Val Surses</v>
      </c>
      <c r="B56" s="5"/>
      <c r="C56" s="13">
        <v>3587</v>
      </c>
      <c r="D56" s="17">
        <v>3897</v>
      </c>
      <c r="E56" s="10">
        <f t="shared" si="3"/>
        <v>-7.9548370541442148E-2</v>
      </c>
      <c r="F56" s="80">
        <v>0.15130311978431132</v>
      </c>
      <c r="G56" s="83">
        <v>85756</v>
      </c>
      <c r="H56" s="17">
        <v>77244</v>
      </c>
      <c r="I56" s="10">
        <f t="shared" si="4"/>
        <v>0.11019626119828074</v>
      </c>
      <c r="J56" s="44">
        <v>0.25715760061688009</v>
      </c>
    </row>
    <row r="57" spans="1:10" x14ac:dyDescent="0.2">
      <c r="A57" s="24" t="str">
        <f>VLOOKUP("&lt;Zeilentitel_39&gt;",Uebersetzungen!$B$4:$E$78,Uebersetzungen!$B$2+1,FALSE)</f>
        <v>Surselva</v>
      </c>
      <c r="B57" s="5"/>
      <c r="C57" s="13">
        <v>5924</v>
      </c>
      <c r="D57" s="17">
        <v>6860</v>
      </c>
      <c r="E57" s="10">
        <f t="shared" si="3"/>
        <v>-0.13644314868804663</v>
      </c>
      <c r="F57" s="80">
        <v>-0.20168180470581898</v>
      </c>
      <c r="G57" s="83">
        <v>88935</v>
      </c>
      <c r="H57" s="17">
        <v>89798</v>
      </c>
      <c r="I57" s="10">
        <f t="shared" si="4"/>
        <v>-9.6104590302679149E-3</v>
      </c>
      <c r="J57" s="44">
        <v>-7.4900453109982057E-2</v>
      </c>
    </row>
    <row r="58" spans="1:10" x14ac:dyDescent="0.2">
      <c r="A58" s="24" t="str">
        <f>VLOOKUP("&lt;Zeilentitel_40&gt;",Uebersetzungen!$B$4:$E$78,Uebersetzungen!$B$2+1,FALSE)</f>
        <v>Valposchiavo</v>
      </c>
      <c r="B58" s="5"/>
      <c r="C58" s="13">
        <v>7191</v>
      </c>
      <c r="D58" s="17">
        <v>8585</v>
      </c>
      <c r="E58" s="10">
        <f t="shared" si="3"/>
        <v>-0.16237623762376241</v>
      </c>
      <c r="F58" s="80">
        <v>-0.12556544579016493</v>
      </c>
      <c r="G58" s="83">
        <v>67491</v>
      </c>
      <c r="H58" s="17">
        <v>72071</v>
      </c>
      <c r="I58" s="10">
        <f t="shared" si="4"/>
        <v>-6.3548445283123534E-2</v>
      </c>
      <c r="J58" s="44">
        <v>3.0422117181488462E-2</v>
      </c>
    </row>
    <row r="59" spans="1:10" x14ac:dyDescent="0.2">
      <c r="A59" s="24" t="str">
        <f>VLOOKUP("&lt;Zeilentitel_41&gt;",Uebersetzungen!$B$4:$E$78,Uebersetzungen!$B$2+1,FALSE)</f>
        <v>Vals</v>
      </c>
      <c r="B59" s="5"/>
      <c r="C59" s="13">
        <v>4900</v>
      </c>
      <c r="D59" s="17">
        <v>5883</v>
      </c>
      <c r="E59" s="10">
        <f t="shared" si="3"/>
        <v>-0.16709161992180865</v>
      </c>
      <c r="F59" s="80">
        <v>-0.32059565735836493</v>
      </c>
      <c r="G59" s="83">
        <v>54939</v>
      </c>
      <c r="H59" s="17">
        <v>56859</v>
      </c>
      <c r="I59" s="10">
        <f t="shared" si="4"/>
        <v>-3.3767741254682626E-2</v>
      </c>
      <c r="J59" s="44">
        <v>-0.10379759224821372</v>
      </c>
    </row>
    <row r="60" spans="1:10" x14ac:dyDescent="0.2">
      <c r="A60" s="24" t="str">
        <f>VLOOKUP("&lt;Zeilentitel_42&gt;",Uebersetzungen!$B$4:$E$78,Uebersetzungen!$B$2+1,FALSE)</f>
        <v>Viamala</v>
      </c>
      <c r="B60" s="7"/>
      <c r="C60" s="14">
        <v>5965</v>
      </c>
      <c r="D60" s="18">
        <v>6563</v>
      </c>
      <c r="E60" s="11">
        <f t="shared" si="3"/>
        <v>-9.1116867286301972E-2</v>
      </c>
      <c r="F60" s="81">
        <v>-0.13334689370604991</v>
      </c>
      <c r="G60" s="84">
        <v>83205</v>
      </c>
      <c r="H60" s="18">
        <v>83699</v>
      </c>
      <c r="I60" s="11">
        <f t="shared" si="4"/>
        <v>-5.9021015782745323E-3</v>
      </c>
      <c r="J60" s="46">
        <v>1.1286346996222552E-2</v>
      </c>
    </row>
    <row r="61" spans="1:10" ht="13.5" thickBot="1" x14ac:dyDescent="0.25">
      <c r="A61" s="26" t="str">
        <f>VLOOKUP("&lt;Zeilentitel_43&gt;",Uebersetzungen!$B$4:$E$78,Uebersetzungen!$B$2+1,FALSE)</f>
        <v>Graubünden</v>
      </c>
      <c r="B61" s="6"/>
      <c r="C61" s="30">
        <v>330025</v>
      </c>
      <c r="D61" s="40">
        <v>329680</v>
      </c>
      <c r="E61" s="65">
        <f t="shared" si="3"/>
        <v>1.0464693035669992E-3</v>
      </c>
      <c r="F61" s="82">
        <v>-2.8402644193261328E-2</v>
      </c>
      <c r="G61" s="79">
        <v>4833293</v>
      </c>
      <c r="H61" s="40">
        <v>4793700</v>
      </c>
      <c r="I61" s="65">
        <f t="shared" si="4"/>
        <v>8.2593821056804462E-3</v>
      </c>
      <c r="J61" s="66">
        <v>4.3693987175499549E-2</v>
      </c>
    </row>
    <row r="63" spans="1:10" x14ac:dyDescent="0.2">
      <c r="A63" s="4" t="str">
        <f>VLOOKUP("&lt;Legende_1&gt;",Uebersetzungen!$B$4:$E$80,Uebersetzungen!$B$2+1,FALSE)</f>
        <v>Aktuelle Zuordnung der politischen Gemeinden zu Destinationen:</v>
      </c>
      <c r="E63" s="67" t="s">
        <v>214</v>
      </c>
      <c r="F63" s="49"/>
    </row>
    <row r="65" spans="1:10" ht="10.5" customHeight="1" x14ac:dyDescent="0.2"/>
    <row r="66" spans="1:10" ht="18" x14ac:dyDescent="0.25">
      <c r="A66" s="2" t="str">
        <f>VLOOKUP("&lt;T10Titel3&gt;",Uebersetzungen!$B$4:$E$304,Uebersetzungen!$B$2+1,FALSE)</f>
        <v>Hotel- und Kurbetriebe: Logiernächte im Oktober 2024, nach Schweizer Tourismusregionen</v>
      </c>
      <c r="B66" s="3"/>
      <c r="C66" s="3"/>
      <c r="D66" s="3"/>
      <c r="E66" s="3"/>
      <c r="F66" s="3"/>
    </row>
    <row r="67" spans="1:10" s="123" customFormat="1" x14ac:dyDescent="0.2">
      <c r="A67" s="120" t="str">
        <f>VLOOKUP("&lt;Titelprov&gt;",Uebersetzungen!$B$4:$E$304,Uebersetzungen!$B$2+1,FALSE)</f>
        <v>definitive Ergebnisse</v>
      </c>
      <c r="B67" s="121"/>
      <c r="C67" s="122"/>
      <c r="D67" s="122"/>
      <c r="E67" s="122"/>
      <c r="F67" s="122"/>
      <c r="G67" s="122"/>
    </row>
    <row r="68" spans="1:10" ht="18.75" customHeight="1" thickBot="1" x14ac:dyDescent="0.3">
      <c r="A68" s="50"/>
    </row>
    <row r="69" spans="1:10" ht="51" x14ac:dyDescent="0.2">
      <c r="A69" s="8"/>
      <c r="B69" s="9"/>
      <c r="C69" s="20" t="str">
        <f>VLOOKUP("&lt;T10SpaltenTitel_1&gt;",Uebersetzungen!$B$4:$E$304,Uebersetzungen!$B$2+1,FALSE)</f>
        <v>Oktober 2024</v>
      </c>
      <c r="D69" s="21" t="str">
        <f>VLOOKUP("&lt;T10SpaltenTitel_2&gt;",Uebersetzungen!$B$4:$E$304,Uebersetzungen!$B$2+1,FALSE)</f>
        <v>Oktober 2023</v>
      </c>
      <c r="E69" s="22" t="str">
        <f>VLOOKUP("&lt;SpaltenTitel_3&gt;",Uebersetzungen!$B$4:$E$304,Uebersetzungen!$B$2+1,FALSE)</f>
        <v>Veränderung 24/23 in %</v>
      </c>
      <c r="F69" s="22" t="str">
        <f>VLOOKUP("&lt;SpaltenTitel_4&gt;",Uebersetzungen!$B$4:$E$304,Uebersetzungen!$B$2+1,FALSE)</f>
        <v>Veränderung zum
5-Jahresmittel 
in %</v>
      </c>
      <c r="G69" s="75" t="str">
        <f>VLOOKUP("&lt;T10SpaltenTitel_5&gt;",Uebersetzungen!$B$4:$E$304,Uebersetzungen!$B$2+1,FALSE)</f>
        <v>Januar-Oktober 24</v>
      </c>
      <c r="H69" s="22" t="str">
        <f>VLOOKUP("&lt;T10SpaltenTitel_6&gt;",Uebersetzungen!$B$4:$E$304,Uebersetzungen!$B$2+1,FALSE)</f>
        <v>Januar-Oktober 23</v>
      </c>
      <c r="I69" s="22" t="str">
        <f>VLOOKUP("&lt;SpaltenTitel_7&gt;",Uebersetzungen!$B$4:$E$304,Uebersetzungen!$B$2+1,FALSE)</f>
        <v>Veränderung 24/23 in %</v>
      </c>
      <c r="J69" s="23" t="str">
        <f>VLOOKUP("&lt;SpaltenTitel_8&gt;",Uebersetzungen!$B$4:$E$304,Uebersetzungen!$B$2+1,FALSE)</f>
        <v>Veränderung zum
5-Jahresmittel 
in %</v>
      </c>
    </row>
    <row r="70" spans="1:10" x14ac:dyDescent="0.2">
      <c r="A70" s="24" t="str">
        <f>VLOOKUP("&lt;Zeilentitel_44&gt;",Uebersetzungen!$B$4:$E$78,Uebersetzungen!$B$2+1,FALSE)</f>
        <v>Aargau und Solothurn Region</v>
      </c>
      <c r="B70" s="5"/>
      <c r="C70" s="13">
        <v>104934</v>
      </c>
      <c r="D70" s="17">
        <v>99381</v>
      </c>
      <c r="E70" s="10">
        <f>C70/D70-1</f>
        <v>5.5875871645485464E-2</v>
      </c>
      <c r="F70" s="80">
        <v>0.17747256446509119</v>
      </c>
      <c r="G70" s="83">
        <v>1037969</v>
      </c>
      <c r="H70" s="17">
        <v>981018</v>
      </c>
      <c r="I70" s="10">
        <f>G70/H70-1</f>
        <v>5.8052961311617191E-2</v>
      </c>
      <c r="J70" s="44">
        <v>0.29257628108969169</v>
      </c>
    </row>
    <row r="71" spans="1:10" x14ac:dyDescent="0.2">
      <c r="A71" s="24" t="str">
        <f>VLOOKUP("&lt;Zeilentitel_45&gt;",Uebersetzungen!$B$4:$E$78,Uebersetzungen!$B$2+1,FALSE)</f>
        <v>Basel Region</v>
      </c>
      <c r="B71" s="5"/>
      <c r="C71" s="13">
        <v>169113</v>
      </c>
      <c r="D71" s="17">
        <v>151193</v>
      </c>
      <c r="E71" s="10">
        <f t="shared" ref="E71:E83" si="5">C71/D71-1</f>
        <v>0.11852400574100663</v>
      </c>
      <c r="F71" s="80">
        <v>0.31602784690737762</v>
      </c>
      <c r="G71" s="83">
        <v>1488224</v>
      </c>
      <c r="H71" s="17">
        <v>1429840</v>
      </c>
      <c r="I71" s="10">
        <f t="shared" ref="I71:I83" si="6">G71/H71-1</f>
        <v>4.0832540703855003E-2</v>
      </c>
      <c r="J71" s="44">
        <v>0.34207305008912425</v>
      </c>
    </row>
    <row r="72" spans="1:10" x14ac:dyDescent="0.2">
      <c r="A72" s="24" t="str">
        <f>VLOOKUP("&lt;Zeilentitel_46&gt;",Uebersetzungen!$B$4:$E$78,Uebersetzungen!$B$2+1,FALSE)</f>
        <v>Bern Region</v>
      </c>
      <c r="B72" s="5"/>
      <c r="C72" s="13">
        <v>477693</v>
      </c>
      <c r="D72" s="17">
        <v>498356</v>
      </c>
      <c r="E72" s="10">
        <f t="shared" si="5"/>
        <v>-4.1462328134907578E-2</v>
      </c>
      <c r="F72" s="80">
        <v>0.18609470423424868</v>
      </c>
      <c r="G72" s="83">
        <v>5475799</v>
      </c>
      <c r="H72" s="17">
        <v>5349563</v>
      </c>
      <c r="I72" s="10">
        <f t="shared" si="6"/>
        <v>2.3597441510643025E-2</v>
      </c>
      <c r="J72" s="44">
        <v>0.28752983929363651</v>
      </c>
    </row>
    <row r="73" spans="1:10" x14ac:dyDescent="0.2">
      <c r="A73" s="24" t="str">
        <f>VLOOKUP("&lt;Zeilentitel_47&gt;",Uebersetzungen!$B$4:$E$78,Uebersetzungen!$B$2+1,FALSE)</f>
        <v>Fribourg Region</v>
      </c>
      <c r="B73" s="5"/>
      <c r="C73" s="13">
        <v>43040</v>
      </c>
      <c r="D73" s="17">
        <v>45097</v>
      </c>
      <c r="E73" s="10">
        <f t="shared" si="5"/>
        <v>-4.5612790207774312E-2</v>
      </c>
      <c r="F73" s="80">
        <v>4.8548987507065045E-2</v>
      </c>
      <c r="G73" s="83">
        <v>419910</v>
      </c>
      <c r="H73" s="17">
        <v>432319</v>
      </c>
      <c r="I73" s="10">
        <f t="shared" si="6"/>
        <v>-2.8703341745331623E-2</v>
      </c>
      <c r="J73" s="44">
        <v>0.10787530459908989</v>
      </c>
    </row>
    <row r="74" spans="1:10" x14ac:dyDescent="0.2">
      <c r="A74" s="24" t="str">
        <f>VLOOKUP("&lt;Zeilentitel_48&gt;",Uebersetzungen!$B$4:$E$78,Uebersetzungen!$B$2+1,FALSE)</f>
        <v>Genf</v>
      </c>
      <c r="B74" s="5"/>
      <c r="C74" s="13">
        <v>310355</v>
      </c>
      <c r="D74" s="17">
        <v>293247</v>
      </c>
      <c r="E74" s="10">
        <f t="shared" si="5"/>
        <v>5.8339897765365079E-2</v>
      </c>
      <c r="F74" s="80">
        <v>0.42321851773044439</v>
      </c>
      <c r="G74" s="83">
        <v>3187308</v>
      </c>
      <c r="H74" s="17">
        <v>2989233</v>
      </c>
      <c r="I74" s="10">
        <f t="shared" si="6"/>
        <v>6.6262817251114159E-2</v>
      </c>
      <c r="J74" s="44">
        <v>0.54485107320180393</v>
      </c>
    </row>
    <row r="75" spans="1:10" x14ac:dyDescent="0.2">
      <c r="A75" s="110" t="str">
        <f>VLOOKUP("&lt;Zeilentitel_49&gt;",Uebersetzungen!$B$4:$E$78,Uebersetzungen!$B$2+1,FALSE)</f>
        <v>Graubünden</v>
      </c>
      <c r="B75" s="60"/>
      <c r="C75" s="61">
        <v>330025</v>
      </c>
      <c r="D75" s="62">
        <v>329680</v>
      </c>
      <c r="E75" s="63">
        <f t="shared" si="5"/>
        <v>1.0464693035669992E-3</v>
      </c>
      <c r="F75" s="85">
        <v>-2.8402644193261328E-2</v>
      </c>
      <c r="G75" s="87">
        <v>4833293</v>
      </c>
      <c r="H75" s="62">
        <v>4793700</v>
      </c>
      <c r="I75" s="63">
        <f t="shared" si="6"/>
        <v>8.2593821056804462E-3</v>
      </c>
      <c r="J75" s="64">
        <v>4.3693987175499549E-2</v>
      </c>
    </row>
    <row r="76" spans="1:10" x14ac:dyDescent="0.2">
      <c r="A76" s="24" t="str">
        <f>VLOOKUP("&lt;Zeilentitel_50&gt;",Uebersetzungen!$B$4:$E$78,Uebersetzungen!$B$2+1,FALSE)</f>
        <v>Jura &amp; Drei-Seen-Land</v>
      </c>
      <c r="B76" s="5"/>
      <c r="C76" s="13">
        <v>54930</v>
      </c>
      <c r="D76" s="17">
        <v>53518</v>
      </c>
      <c r="E76" s="10">
        <f t="shared" si="5"/>
        <v>2.6383646623565848E-2</v>
      </c>
      <c r="F76" s="80">
        <v>8.2991920442581524E-2</v>
      </c>
      <c r="G76" s="83">
        <v>540217</v>
      </c>
      <c r="H76" s="17">
        <v>527606</v>
      </c>
      <c r="I76" s="10">
        <f t="shared" si="6"/>
        <v>2.3902305887347763E-2</v>
      </c>
      <c r="J76" s="44">
        <v>0.12098263216367733</v>
      </c>
    </row>
    <row r="77" spans="1:10" x14ac:dyDescent="0.2">
      <c r="A77" s="24" t="str">
        <f>VLOOKUP("&lt;Zeilentitel_51&gt;",Uebersetzungen!$B$4:$E$78,Uebersetzungen!$B$2+1,FALSE)</f>
        <v>Luzern / Vierwaldstättersee</v>
      </c>
      <c r="B77" s="5"/>
      <c r="C77" s="13">
        <v>339893</v>
      </c>
      <c r="D77" s="17">
        <v>338736</v>
      </c>
      <c r="E77" s="10">
        <f t="shared" si="5"/>
        <v>3.415639317934982E-3</v>
      </c>
      <c r="F77" s="80">
        <v>0.16734084650611369</v>
      </c>
      <c r="G77" s="83">
        <v>3561109</v>
      </c>
      <c r="H77" s="17">
        <v>3469523</v>
      </c>
      <c r="I77" s="10">
        <f t="shared" si="6"/>
        <v>2.6397288618637216E-2</v>
      </c>
      <c r="J77" s="44">
        <v>0.25029360461217465</v>
      </c>
    </row>
    <row r="78" spans="1:10" x14ac:dyDescent="0.2">
      <c r="A78" s="24" t="str">
        <f>VLOOKUP("&lt;Zeilentitel_52&gt;",Uebersetzungen!$B$4:$E$78,Uebersetzungen!$B$2+1,FALSE)</f>
        <v>Ostschweiz</v>
      </c>
      <c r="B78" s="5"/>
      <c r="C78" s="13">
        <v>180226</v>
      </c>
      <c r="D78" s="17">
        <v>183092</v>
      </c>
      <c r="E78" s="10">
        <f t="shared" si="5"/>
        <v>-1.5653332750748206E-2</v>
      </c>
      <c r="F78" s="80">
        <v>3.3611026040716752E-2</v>
      </c>
      <c r="G78" s="83">
        <v>1782842</v>
      </c>
      <c r="H78" s="17">
        <v>1792048</v>
      </c>
      <c r="I78" s="10">
        <f t="shared" si="6"/>
        <v>-5.1371391837718994E-3</v>
      </c>
      <c r="J78" s="44">
        <v>9.9779777803823411E-2</v>
      </c>
    </row>
    <row r="79" spans="1:10" x14ac:dyDescent="0.2">
      <c r="A79" s="24" t="str">
        <f>VLOOKUP("&lt;Zeilentitel_53&gt;",Uebersetzungen!$B$4:$E$78,Uebersetzungen!$B$2+1,FALSE)</f>
        <v>Tessin</v>
      </c>
      <c r="B79" s="5"/>
      <c r="C79" s="13">
        <v>228846</v>
      </c>
      <c r="D79" s="17">
        <v>226312</v>
      </c>
      <c r="E79" s="10">
        <f t="shared" si="5"/>
        <v>1.1196931669553489E-2</v>
      </c>
      <c r="F79" s="80">
        <v>-0.13059764715894029</v>
      </c>
      <c r="G79" s="83">
        <v>2223069</v>
      </c>
      <c r="H79" s="17">
        <v>2277611</v>
      </c>
      <c r="I79" s="10">
        <f t="shared" si="6"/>
        <v>-2.3947021681928971E-2</v>
      </c>
      <c r="J79" s="44">
        <v>-2.4309862196274845E-2</v>
      </c>
    </row>
    <row r="80" spans="1:10" x14ac:dyDescent="0.2">
      <c r="A80" s="24" t="str">
        <f>VLOOKUP("&lt;Zeilentitel_54&gt;",Uebersetzungen!$B$4:$E$78,Uebersetzungen!$B$2+1,FALSE)</f>
        <v>Waadt</v>
      </c>
      <c r="B80" s="5"/>
      <c r="C80" s="13">
        <v>229155</v>
      </c>
      <c r="D80" s="17">
        <v>228597</v>
      </c>
      <c r="E80" s="10">
        <f t="shared" si="5"/>
        <v>2.44097691570766E-3</v>
      </c>
      <c r="F80" s="80">
        <v>0.1140003675173038</v>
      </c>
      <c r="G80" s="83">
        <v>2521273</v>
      </c>
      <c r="H80" s="17">
        <v>2512200</v>
      </c>
      <c r="I80" s="10">
        <f t="shared" si="6"/>
        <v>3.6115755115038173E-3</v>
      </c>
      <c r="J80" s="44">
        <v>0.19465906387914633</v>
      </c>
    </row>
    <row r="81" spans="1:10" x14ac:dyDescent="0.2">
      <c r="A81" s="24" t="str">
        <f>VLOOKUP("&lt;Zeilentitel_55&gt;",Uebersetzungen!$B$4:$E$78,Uebersetzungen!$B$2+1,FALSE)</f>
        <v>Wallis</v>
      </c>
      <c r="B81" s="5"/>
      <c r="C81" s="13">
        <v>247549</v>
      </c>
      <c r="D81" s="17">
        <v>269227</v>
      </c>
      <c r="E81" s="33">
        <f t="shared" si="5"/>
        <v>-8.0519412986067573E-2</v>
      </c>
      <c r="F81" s="80">
        <v>1.1655709275388837E-3</v>
      </c>
      <c r="G81" s="83">
        <v>3890125</v>
      </c>
      <c r="H81" s="17">
        <v>3963183</v>
      </c>
      <c r="I81" s="33">
        <f t="shared" si="6"/>
        <v>-1.8434172734390519E-2</v>
      </c>
      <c r="J81" s="44">
        <v>0.1207304853673028</v>
      </c>
    </row>
    <row r="82" spans="1:10" x14ac:dyDescent="0.2">
      <c r="A82" s="24" t="str">
        <f>VLOOKUP("&lt;Zeilentitel_56&gt;",Uebersetzungen!$B$4:$E$78,Uebersetzungen!$B$2+1,FALSE)</f>
        <v>Zürich Region</v>
      </c>
      <c r="B82" s="7"/>
      <c r="C82" s="14">
        <v>621929</v>
      </c>
      <c r="D82" s="18">
        <v>608734</v>
      </c>
      <c r="E82" s="43">
        <f t="shared" si="5"/>
        <v>2.1676134403532554E-2</v>
      </c>
      <c r="F82" s="11">
        <v>0.33520412062692206</v>
      </c>
      <c r="G82" s="84">
        <v>6140641</v>
      </c>
      <c r="H82" s="18">
        <v>5867017</v>
      </c>
      <c r="I82" s="43">
        <f t="shared" si="6"/>
        <v>4.6637669534620452E-2</v>
      </c>
      <c r="J82" s="48">
        <v>0.47394035830870163</v>
      </c>
    </row>
    <row r="83" spans="1:10" ht="13.5" thickBot="1" x14ac:dyDescent="0.25">
      <c r="A83" s="71" t="str">
        <f>VLOOKUP("&lt;Zeilentitel_57&gt;",Uebersetzungen!$B$4:$E$78,Uebersetzungen!$B$2+1,FALSE)</f>
        <v>Schweiz</v>
      </c>
      <c r="B83" s="39"/>
      <c r="C83" s="30">
        <v>3337688</v>
      </c>
      <c r="D83" s="40">
        <v>3325170</v>
      </c>
      <c r="E83" s="41">
        <f t="shared" si="5"/>
        <v>3.7646195532861082E-3</v>
      </c>
      <c r="F83" s="86">
        <v>0.14406809000030107</v>
      </c>
      <c r="G83" s="79">
        <v>37101779</v>
      </c>
      <c r="H83" s="40">
        <v>36384861</v>
      </c>
      <c r="I83" s="41">
        <f t="shared" si="6"/>
        <v>1.97037443677468E-2</v>
      </c>
      <c r="J83" s="45">
        <v>0.22791120145515387</v>
      </c>
    </row>
    <row r="84" spans="1:10" x14ac:dyDescent="0.2">
      <c r="A84" s="34"/>
      <c r="B84" s="35"/>
      <c r="C84" s="29"/>
      <c r="D84" s="36"/>
      <c r="E84" s="37"/>
      <c r="F84" s="38"/>
    </row>
    <row r="85" spans="1:10" x14ac:dyDescent="0.2">
      <c r="A85" s="4" t="str">
        <f>VLOOKUP("&lt;Quelle_1&gt;",Uebersetzungen!$B$4:$E$86,Uebersetzungen!$B$2+1,FALSE)</f>
        <v>Quelle: BFS (HESTA)</v>
      </c>
    </row>
    <row r="86" spans="1:10" ht="12.75" customHeight="1" x14ac:dyDescent="0.2">
      <c r="A86" s="4" t="str">
        <f>VLOOKUP("&lt;T10Aktualisierung&gt;",Uebersetzungen!$B$4:$E$304,Uebersetzungen!$B$2+1,FALSE)</f>
        <v>Letztmals aktualisiert am: 05.12.2024</v>
      </c>
    </row>
    <row r="87" spans="1:10" x14ac:dyDescent="0.2">
      <c r="A87" s="4" t="str">
        <f>VLOOKUP("&lt;Legende_2&gt;",Uebersetzungen!$B$4:$E$86,Uebersetzungen!$B$2+1,FALSE)</f>
        <v>Kontakt: Luzius Stricker, 081 257 23 74, luzius.stricker@awt.gr.ch</v>
      </c>
    </row>
    <row r="88" spans="1:10" x14ac:dyDescent="0.2">
      <c r="A88" s="31" t="str">
        <f>VLOOKUP("&lt;T10Legende_3&gt;",Uebersetzungen!$B$4:$E$304,Uebersetzungen!$B$2+1,FALSE)</f>
        <v>Daten des November 2024 erscheinen am 16. Januar 2025.</v>
      </c>
    </row>
    <row r="90" spans="1:10" x14ac:dyDescent="0.2">
      <c r="A90" s="4" t="s">
        <v>55</v>
      </c>
    </row>
  </sheetData>
  <sheetProtection sheet="1" objects="1" scenarios="1"/>
  <mergeCells count="1">
    <mergeCell ref="A7:D7"/>
  </mergeCells>
  <hyperlinks>
    <hyperlink ref="E63" r:id="rId1"/>
  </hyperlinks>
  <pageMargins left="0.70866141732283472" right="0.70866141732283472" top="0.78740157480314965" bottom="0.78740157480314965" header="0.31496062992125984" footer="0.31496062992125984"/>
  <pageSetup paperSize="9" scale="90" fitToHeight="2" orientation="landscape" r:id="rId2"/>
  <rowBreaks count="2" manualBreakCount="2">
    <brk id="38" max="9" man="1"/>
    <brk id="65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0"/>
  <dimension ref="A1:J90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24" t="str">
        <f>VLOOKUP("&lt;Fachbereich&gt;",Uebersetzungen!$B$4:$E$304,Uebersetzungen!$B$2+1,FALSE)</f>
        <v>Daten &amp; Statistik</v>
      </c>
      <c r="B7" s="124"/>
      <c r="C7" s="124"/>
      <c r="D7" s="124"/>
      <c r="E7" s="95"/>
      <c r="F7" s="1"/>
    </row>
    <row r="8" spans="1:10" ht="10.5" customHeight="1" x14ac:dyDescent="0.2"/>
    <row r="9" spans="1:10" ht="18" x14ac:dyDescent="0.25">
      <c r="A9" s="2" t="str">
        <f>VLOOKUP("&lt;T9Titel1&gt;",Uebersetzungen!$B$4:$E$304,Uebersetzungen!$B$2+1,FALSE)</f>
        <v>Hotel- und Kurbetriebe: Logiernächte im September 2024, nach Herkunft</v>
      </c>
      <c r="B9" s="3"/>
      <c r="C9" s="3"/>
      <c r="D9" s="3"/>
      <c r="E9" s="3"/>
      <c r="F9" s="3"/>
    </row>
    <row r="10" spans="1:10" s="123" customFormat="1" x14ac:dyDescent="0.2">
      <c r="A10" s="120" t="str">
        <f>VLOOKUP("&lt;Titelprov&gt;",Uebersetzungen!$B$4:$E$304,Uebersetzungen!$B$2+1,FALSE)</f>
        <v>definitive Ergebnisse</v>
      </c>
      <c r="B10" s="121"/>
      <c r="C10" s="122"/>
      <c r="D10" s="122"/>
      <c r="E10" s="122"/>
      <c r="F10" s="122"/>
      <c r="G10" s="122"/>
    </row>
    <row r="11" spans="1:10" ht="13.5" thickBot="1" x14ac:dyDescent="0.25"/>
    <row r="12" spans="1:10" ht="51" x14ac:dyDescent="0.2">
      <c r="A12" s="8"/>
      <c r="B12" s="9"/>
      <c r="C12" s="20" t="str">
        <f>VLOOKUP("&lt;T9SpaltenTitel_1&gt;",Uebersetzungen!$B$4:$E$304,Uebersetzungen!$B$2+1,FALSE)</f>
        <v>September 2024</v>
      </c>
      <c r="D12" s="21" t="str">
        <f>VLOOKUP("&lt;T9SpaltenTitel_2&gt;",Uebersetzungen!$B$4:$E$304,Uebersetzungen!$B$2+1,FALSE)</f>
        <v>September 2023</v>
      </c>
      <c r="E12" s="22" t="str">
        <f>VLOOKUP("&lt;SpaltenTitel_3&gt;",Uebersetzungen!$B$4:$E$304,Uebersetzungen!$B$2+1,FALSE)</f>
        <v>Veränderung 24/23 in %</v>
      </c>
      <c r="F12" s="22" t="str">
        <f>VLOOKUP("&lt;SpaltenTitel_4&gt;",Uebersetzungen!$B$4:$E$304,Uebersetzungen!$B$2+1,FALSE)</f>
        <v>Veränderung zum
5-Jahresmittel 
in %</v>
      </c>
      <c r="G12" s="75" t="str">
        <f>VLOOKUP("&lt;T9SpaltenTitel_5&gt;",Uebersetzungen!$B$4:$E$304,Uebersetzungen!$B$2+1,FALSE)</f>
        <v>Januar-September 24</v>
      </c>
      <c r="H12" s="22" t="str">
        <f>VLOOKUP("&lt;T9SpaltenTitel_6&gt;",Uebersetzungen!$B$4:$E$304,Uebersetzungen!$B$2+1,FALSE)</f>
        <v>Januar-September 23</v>
      </c>
      <c r="I12" s="22" t="str">
        <f>VLOOKUP("&lt;SpaltenTitel_7&gt;",Uebersetzungen!$B$4:$E$304,Uebersetzungen!$B$2+1,FALSE)</f>
        <v>Veränderung 24/23 in %</v>
      </c>
      <c r="J12" s="23" t="str">
        <f>VLOOKUP("&lt;SpaltenTitel_8&gt;",Uebersetzungen!$B$4:$E$304,Uebersetzungen!$B$2+1,FALSE)</f>
        <v>Veränderung zum
5-Jahresmittel 
in %</v>
      </c>
    </row>
    <row r="13" spans="1:10" x14ac:dyDescent="0.2">
      <c r="A13" s="24" t="str">
        <f>VLOOKUP("&lt;Zeilentitel_1&gt;",Uebersetzungen!$B$4:$E$78,Uebersetzungen!$B$2+1,FALSE)</f>
        <v>Schweiz</v>
      </c>
      <c r="B13" s="5"/>
      <c r="C13" s="51">
        <v>275886</v>
      </c>
      <c r="D13" s="52">
        <v>311346</v>
      </c>
      <c r="E13" s="53">
        <f t="shared" ref="E13:E36" si="0">C13/D13-1</f>
        <v>-0.11389258252876222</v>
      </c>
      <c r="F13" s="72">
        <v>-0.16832317122800788</v>
      </c>
      <c r="G13" s="76">
        <v>2816485</v>
      </c>
      <c r="H13" s="52">
        <v>2841156</v>
      </c>
      <c r="I13" s="53">
        <f t="shared" ref="I13:I36" si="1">G13/H13-1</f>
        <v>-8.6834373050969083E-3</v>
      </c>
      <c r="J13" s="54">
        <v>-3.5666524894795826E-2</v>
      </c>
    </row>
    <row r="14" spans="1:10" x14ac:dyDescent="0.2">
      <c r="A14" s="24" t="str">
        <f>VLOOKUP("&lt;Zeilentitel_2&gt;",Uebersetzungen!$B$4:$E$78,Uebersetzungen!$B$2+1,FALSE)</f>
        <v>Deutschland</v>
      </c>
      <c r="B14" s="5"/>
      <c r="C14" s="51">
        <v>55362</v>
      </c>
      <c r="D14" s="52">
        <v>61730</v>
      </c>
      <c r="E14" s="53">
        <f t="shared" si="0"/>
        <v>-0.10315891786813547</v>
      </c>
      <c r="F14" s="72">
        <v>-0.10214368425661935</v>
      </c>
      <c r="G14" s="76">
        <v>648533</v>
      </c>
      <c r="H14" s="52">
        <v>627691</v>
      </c>
      <c r="I14" s="53">
        <f t="shared" si="1"/>
        <v>3.3204235842158036E-2</v>
      </c>
      <c r="J14" s="54">
        <v>0.12299931013082599</v>
      </c>
    </row>
    <row r="15" spans="1:10" x14ac:dyDescent="0.2">
      <c r="A15" s="24" t="str">
        <f>VLOOKUP("&lt;Zeilentitel_3&gt;",Uebersetzungen!$B$4:$E$78,Uebersetzungen!$B$2+1,FALSE)</f>
        <v>Italien</v>
      </c>
      <c r="B15" s="5"/>
      <c r="C15" s="51">
        <v>4241</v>
      </c>
      <c r="D15" s="52">
        <v>4658</v>
      </c>
      <c r="E15" s="53">
        <f t="shared" si="0"/>
        <v>-8.952340060111641E-2</v>
      </c>
      <c r="F15" s="72">
        <v>6.6488960418447984E-2</v>
      </c>
      <c r="G15" s="76">
        <v>82183</v>
      </c>
      <c r="H15" s="52">
        <v>77308</v>
      </c>
      <c r="I15" s="53">
        <f t="shared" si="1"/>
        <v>6.3059450509649784E-2</v>
      </c>
      <c r="J15" s="54">
        <v>0.25130180577971295</v>
      </c>
    </row>
    <row r="16" spans="1:10" x14ac:dyDescent="0.2">
      <c r="A16" s="24" t="str">
        <f>VLOOKUP("&lt;Zeilentitel_4&gt;",Uebersetzungen!$B$4:$E$78,Uebersetzungen!$B$2+1,FALSE)</f>
        <v>Frankreich</v>
      </c>
      <c r="B16" s="5"/>
      <c r="C16" s="51">
        <v>3848</v>
      </c>
      <c r="D16" s="52">
        <v>4071</v>
      </c>
      <c r="E16" s="53">
        <f t="shared" si="0"/>
        <v>-5.4777695897813783E-2</v>
      </c>
      <c r="F16" s="72">
        <v>0.24145050974319271</v>
      </c>
      <c r="G16" s="76">
        <v>54003</v>
      </c>
      <c r="H16" s="52">
        <v>46820</v>
      </c>
      <c r="I16" s="53">
        <f t="shared" si="1"/>
        <v>0.15341734301580523</v>
      </c>
      <c r="J16" s="54">
        <v>0.27242524916943522</v>
      </c>
    </row>
    <row r="17" spans="1:10" x14ac:dyDescent="0.2">
      <c r="A17" s="24" t="str">
        <f>VLOOKUP("&lt;Zeilentitel_5&gt;",Uebersetzungen!$B$4:$E$78,Uebersetzungen!$B$2+1,FALSE)</f>
        <v>Österreich</v>
      </c>
      <c r="B17" s="5"/>
      <c r="C17" s="51">
        <v>5623</v>
      </c>
      <c r="D17" s="52">
        <v>4256</v>
      </c>
      <c r="E17" s="53">
        <f t="shared" si="0"/>
        <v>0.32119360902255645</v>
      </c>
      <c r="F17" s="72">
        <v>0.25284078249632369</v>
      </c>
      <c r="G17" s="76">
        <v>41515</v>
      </c>
      <c r="H17" s="52">
        <v>39594</v>
      </c>
      <c r="I17" s="53">
        <f t="shared" si="1"/>
        <v>4.8517452139213102E-2</v>
      </c>
      <c r="J17" s="54">
        <v>0.20197457946089936</v>
      </c>
    </row>
    <row r="18" spans="1:10" x14ac:dyDescent="0.2">
      <c r="A18" s="24" t="str">
        <f>VLOOKUP("&lt;Zeilentitel_6&gt;",Uebersetzungen!$B$4:$E$78,Uebersetzungen!$B$2+1,FALSE)</f>
        <v>Niederlande</v>
      </c>
      <c r="B18" s="5"/>
      <c r="C18" s="51">
        <v>9060</v>
      </c>
      <c r="D18" s="52">
        <v>7009</v>
      </c>
      <c r="E18" s="53">
        <f t="shared" si="0"/>
        <v>0.29262376943929236</v>
      </c>
      <c r="F18" s="72">
        <v>0.29424873575040711</v>
      </c>
      <c r="G18" s="76">
        <v>88682</v>
      </c>
      <c r="H18" s="52">
        <v>87408</v>
      </c>
      <c r="I18" s="53">
        <f t="shared" si="1"/>
        <v>1.4575324913051357E-2</v>
      </c>
      <c r="J18" s="54">
        <v>0.22472372524161099</v>
      </c>
    </row>
    <row r="19" spans="1:10" x14ac:dyDescent="0.2">
      <c r="A19" s="24" t="str">
        <f>VLOOKUP("&lt;Zeilentitel_7&gt;",Uebersetzungen!$B$4:$E$78,Uebersetzungen!$B$2+1,FALSE)</f>
        <v>Belgien</v>
      </c>
      <c r="B19" s="5"/>
      <c r="C19" s="51">
        <v>7979</v>
      </c>
      <c r="D19" s="52">
        <v>12436</v>
      </c>
      <c r="E19" s="53">
        <f t="shared" si="0"/>
        <v>-0.35839498230942424</v>
      </c>
      <c r="F19" s="72">
        <v>-0.14536963646879897</v>
      </c>
      <c r="G19" s="76">
        <v>94341</v>
      </c>
      <c r="H19" s="52">
        <v>129753</v>
      </c>
      <c r="I19" s="53">
        <f t="shared" si="1"/>
        <v>-0.27291854523594827</v>
      </c>
      <c r="J19" s="54">
        <v>-0.15049129429392649</v>
      </c>
    </row>
    <row r="20" spans="1:10" x14ac:dyDescent="0.2">
      <c r="A20" s="24" t="str">
        <f>VLOOKUP("&lt;Zeilentitel_8&gt;",Uebersetzungen!$B$4:$E$78,Uebersetzungen!$B$2+1,FALSE)</f>
        <v>Luxemburg</v>
      </c>
      <c r="B20" s="5"/>
      <c r="C20" s="51">
        <v>709</v>
      </c>
      <c r="D20" s="52">
        <v>614</v>
      </c>
      <c r="E20" s="53">
        <f t="shared" si="0"/>
        <v>0.15472312703583069</v>
      </c>
      <c r="F20" s="72">
        <v>0.19844489519945907</v>
      </c>
      <c r="G20" s="76">
        <v>12696</v>
      </c>
      <c r="H20" s="52">
        <v>12433</v>
      </c>
      <c r="I20" s="53">
        <f t="shared" si="1"/>
        <v>2.1153382128207276E-2</v>
      </c>
      <c r="J20" s="54">
        <v>5.8617526890686333E-2</v>
      </c>
    </row>
    <row r="21" spans="1:10" x14ac:dyDescent="0.2">
      <c r="A21" s="24" t="str">
        <f>VLOOKUP("&lt;Zeilentitel_9&gt;",Uebersetzungen!$B$4:$E$78,Uebersetzungen!$B$2+1,FALSE)</f>
        <v>Vereinigtes Königreich</v>
      </c>
      <c r="B21" s="5"/>
      <c r="C21" s="51">
        <v>11555</v>
      </c>
      <c r="D21" s="52">
        <v>11641</v>
      </c>
      <c r="E21" s="53">
        <f t="shared" si="0"/>
        <v>-7.3876814706640426E-3</v>
      </c>
      <c r="F21" s="72">
        <v>0.53681438527424574</v>
      </c>
      <c r="G21" s="76">
        <v>136987</v>
      </c>
      <c r="H21" s="52">
        <v>131126</v>
      </c>
      <c r="I21" s="53">
        <f t="shared" si="1"/>
        <v>4.4697466558882404E-2</v>
      </c>
      <c r="J21" s="54">
        <v>0.41061127483992643</v>
      </c>
    </row>
    <row r="22" spans="1:10" x14ac:dyDescent="0.2">
      <c r="A22" s="24" t="str">
        <f>VLOOKUP("&lt;Zeilentitel_10&gt;",Uebersetzungen!$B$4:$E$78,Uebersetzungen!$B$2+1,FALSE)</f>
        <v>Vereinigte Staaten</v>
      </c>
      <c r="B22" s="5"/>
      <c r="C22" s="51">
        <v>16144</v>
      </c>
      <c r="D22" s="52">
        <v>13876</v>
      </c>
      <c r="E22" s="53">
        <f t="shared" si="0"/>
        <v>0.16344767944652627</v>
      </c>
      <c r="F22" s="72">
        <v>0.78248868278679473</v>
      </c>
      <c r="G22" s="76">
        <v>126176</v>
      </c>
      <c r="H22" s="52">
        <v>110593</v>
      </c>
      <c r="I22" s="53">
        <f t="shared" si="1"/>
        <v>0.14090403551761876</v>
      </c>
      <c r="J22" s="54">
        <v>0.78644141707890958</v>
      </c>
    </row>
    <row r="23" spans="1:10" x14ac:dyDescent="0.2">
      <c r="A23" s="24" t="str">
        <f>VLOOKUP("&lt;Zeilentitel_11&gt;",Uebersetzungen!$B$4:$E$78,Uebersetzungen!$B$2+1,FALSE)</f>
        <v>Polen</v>
      </c>
      <c r="B23" s="5"/>
      <c r="C23" s="51">
        <v>1277</v>
      </c>
      <c r="D23" s="52">
        <v>1357</v>
      </c>
      <c r="E23" s="53">
        <f t="shared" si="0"/>
        <v>-5.8953574060427449E-2</v>
      </c>
      <c r="F23" s="72">
        <v>0.26460685284214702</v>
      </c>
      <c r="G23" s="76">
        <v>26310</v>
      </c>
      <c r="H23" s="52">
        <v>24079</v>
      </c>
      <c r="I23" s="53">
        <f t="shared" si="1"/>
        <v>9.2653349391585982E-2</v>
      </c>
      <c r="J23" s="54">
        <v>-0.27233202236936005</v>
      </c>
    </row>
    <row r="24" spans="1:10" x14ac:dyDescent="0.2">
      <c r="A24" s="24" t="str">
        <f>VLOOKUP("&lt;Zeilentitel_12&gt;",Uebersetzungen!$B$4:$E$78,Uebersetzungen!$B$2+1,FALSE)</f>
        <v>Tschechien</v>
      </c>
      <c r="B24" s="5"/>
      <c r="C24" s="51">
        <v>729</v>
      </c>
      <c r="D24" s="52">
        <v>1218</v>
      </c>
      <c r="E24" s="53">
        <f t="shared" si="0"/>
        <v>-0.40147783251231528</v>
      </c>
      <c r="F24" s="72">
        <v>-0.15133876600698482</v>
      </c>
      <c r="G24" s="76">
        <v>19233</v>
      </c>
      <c r="H24" s="52">
        <v>18713</v>
      </c>
      <c r="I24" s="53">
        <f t="shared" si="1"/>
        <v>2.7788168652808309E-2</v>
      </c>
      <c r="J24" s="54">
        <v>0.28778038165383335</v>
      </c>
    </row>
    <row r="25" spans="1:10" x14ac:dyDescent="0.2">
      <c r="A25" s="24" t="str">
        <f>VLOOKUP("&lt;Zeilentitel_13&gt;",Uebersetzungen!$B$4:$E$78,Uebersetzungen!$B$2+1,FALSE)</f>
        <v>Russland</v>
      </c>
      <c r="B25" s="5"/>
      <c r="C25" s="51">
        <v>119</v>
      </c>
      <c r="D25" s="52">
        <v>136</v>
      </c>
      <c r="E25" s="53">
        <f t="shared" si="0"/>
        <v>-0.125</v>
      </c>
      <c r="F25" s="72">
        <v>-0.44907407407407407</v>
      </c>
      <c r="G25" s="76">
        <v>7199</v>
      </c>
      <c r="H25" s="52">
        <v>7510</v>
      </c>
      <c r="I25" s="53">
        <f t="shared" si="1"/>
        <v>-4.1411451398135846E-2</v>
      </c>
      <c r="J25" s="54">
        <v>-0.55168204859943459</v>
      </c>
    </row>
    <row r="26" spans="1:10" x14ac:dyDescent="0.2">
      <c r="A26" s="24" t="str">
        <f>VLOOKUP("&lt;Zeilentitel_14&gt;",Uebersetzungen!$B$4:$E$78,Uebersetzungen!$B$2+1,FALSE)</f>
        <v>Schweden</v>
      </c>
      <c r="B26" s="5"/>
      <c r="C26" s="51">
        <v>834</v>
      </c>
      <c r="D26" s="52">
        <v>1025</v>
      </c>
      <c r="E26" s="53">
        <f t="shared" si="0"/>
        <v>-0.1863414634146342</v>
      </c>
      <c r="F26" s="72">
        <v>-3.5168903285515918E-2</v>
      </c>
      <c r="G26" s="76">
        <v>14118</v>
      </c>
      <c r="H26" s="52">
        <v>14854</v>
      </c>
      <c r="I26" s="53">
        <f t="shared" si="1"/>
        <v>-4.9548943045644278E-2</v>
      </c>
      <c r="J26" s="54">
        <v>0.14562539558887955</v>
      </c>
    </row>
    <row r="27" spans="1:10" x14ac:dyDescent="0.2">
      <c r="A27" s="24" t="str">
        <f>VLOOKUP("&lt;Zeilentitel_15&gt;",Uebersetzungen!$B$4:$E$78,Uebersetzungen!$B$2+1,FALSE)</f>
        <v>Norwegen</v>
      </c>
      <c r="B27" s="5"/>
      <c r="C27" s="51">
        <v>673</v>
      </c>
      <c r="D27" s="52">
        <v>664</v>
      </c>
      <c r="E27" s="53">
        <f t="shared" si="0"/>
        <v>1.3554216867469826E-2</v>
      </c>
      <c r="F27" s="72">
        <v>0.5191873589164786</v>
      </c>
      <c r="G27" s="76">
        <v>6282</v>
      </c>
      <c r="H27" s="52">
        <v>7503</v>
      </c>
      <c r="I27" s="53">
        <f t="shared" si="1"/>
        <v>-0.162734906037585</v>
      </c>
      <c r="J27" s="54">
        <v>9.9635905335387243E-2</v>
      </c>
    </row>
    <row r="28" spans="1:10" x14ac:dyDescent="0.2">
      <c r="A28" s="24" t="str">
        <f>VLOOKUP("&lt;Zeilentitel_16&gt;",Uebersetzungen!$B$4:$E$78,Uebersetzungen!$B$2+1,FALSE)</f>
        <v>Dänemark</v>
      </c>
      <c r="B28" s="5"/>
      <c r="C28" s="51">
        <v>1011</v>
      </c>
      <c r="D28" s="52">
        <v>1000</v>
      </c>
      <c r="E28" s="53">
        <f t="shared" si="0"/>
        <v>1.0999999999999899E-2</v>
      </c>
      <c r="F28" s="72">
        <v>0.31503642039542146</v>
      </c>
      <c r="G28" s="76">
        <v>13218</v>
      </c>
      <c r="H28" s="52">
        <v>11950</v>
      </c>
      <c r="I28" s="53">
        <f t="shared" si="1"/>
        <v>0.10610878661087875</v>
      </c>
      <c r="J28" s="54">
        <v>0.23986942818550183</v>
      </c>
    </row>
    <row r="29" spans="1:10" x14ac:dyDescent="0.2">
      <c r="A29" s="24" t="str">
        <f>VLOOKUP("&lt;Zeilentitel_17&gt;",Uebersetzungen!$B$4:$E$78,Uebersetzungen!$B$2+1,FALSE)</f>
        <v>Finnland</v>
      </c>
      <c r="B29" s="5"/>
      <c r="C29" s="51">
        <v>509</v>
      </c>
      <c r="D29" s="52">
        <v>948</v>
      </c>
      <c r="E29" s="53">
        <f t="shared" si="0"/>
        <v>-0.46308016877637126</v>
      </c>
      <c r="F29" s="72">
        <v>-0.12029035603180094</v>
      </c>
      <c r="G29" s="76">
        <v>5711</v>
      </c>
      <c r="H29" s="52">
        <v>7103</v>
      </c>
      <c r="I29" s="53">
        <f t="shared" si="1"/>
        <v>-0.19597353231029147</v>
      </c>
      <c r="J29" s="54">
        <v>9.0260012981558502E-2</v>
      </c>
    </row>
    <row r="30" spans="1:10" x14ac:dyDescent="0.2">
      <c r="A30" s="24" t="str">
        <f>VLOOKUP("&lt;Zeilentitel_18&gt;",Uebersetzungen!$B$4:$E$78,Uebersetzungen!$B$2+1,FALSE)</f>
        <v>Japan</v>
      </c>
      <c r="B30" s="5"/>
      <c r="C30" s="51">
        <v>1810</v>
      </c>
      <c r="D30" s="52">
        <v>1594</v>
      </c>
      <c r="E30" s="53">
        <f t="shared" si="0"/>
        <v>0.13550815558343787</v>
      </c>
      <c r="F30" s="72">
        <v>0.49020253581425988</v>
      </c>
      <c r="G30" s="76">
        <v>15501</v>
      </c>
      <c r="H30" s="52">
        <v>14055</v>
      </c>
      <c r="I30" s="53">
        <f t="shared" si="1"/>
        <v>0.10288153681963719</v>
      </c>
      <c r="J30" s="54">
        <v>0.42386052578399136</v>
      </c>
    </row>
    <row r="31" spans="1:10" x14ac:dyDescent="0.2">
      <c r="A31" s="24" t="str">
        <f>VLOOKUP("&lt;Zeilentitel_19&gt;",Uebersetzungen!$B$4:$E$78,Uebersetzungen!$B$2+1,FALSE)</f>
        <v>China / Hongkong / Taiwan (Chin. Taipei)</v>
      </c>
      <c r="B31" s="5"/>
      <c r="C31" s="51">
        <v>4667</v>
      </c>
      <c r="D31" s="52">
        <v>5106</v>
      </c>
      <c r="E31" s="53">
        <f t="shared" si="0"/>
        <v>-8.5977281629455504E-2</v>
      </c>
      <c r="F31" s="72">
        <v>0.73765730880929326</v>
      </c>
      <c r="G31" s="76">
        <v>33868</v>
      </c>
      <c r="H31" s="52">
        <v>25435</v>
      </c>
      <c r="I31" s="53">
        <f t="shared" si="1"/>
        <v>0.33155101238450957</v>
      </c>
      <c r="J31" s="54">
        <v>0.896793127009196</v>
      </c>
    </row>
    <row r="32" spans="1:10" x14ac:dyDescent="0.2">
      <c r="A32" s="24" t="str">
        <f>VLOOKUP("&lt;Zeilentitel_20&gt;",Uebersetzungen!$B$4:$E$78,Uebersetzungen!$B$2+1,FALSE)</f>
        <v xml:space="preserve">Indien </v>
      </c>
      <c r="B32" s="5"/>
      <c r="C32" s="59">
        <v>1120</v>
      </c>
      <c r="D32" s="52">
        <v>853</v>
      </c>
      <c r="E32" s="53">
        <f t="shared" si="0"/>
        <v>0.31301289566236812</v>
      </c>
      <c r="F32" s="72">
        <v>1.2727272727272725</v>
      </c>
      <c r="G32" s="77">
        <v>11151</v>
      </c>
      <c r="H32" s="52">
        <v>10114</v>
      </c>
      <c r="I32" s="53">
        <f t="shared" si="1"/>
        <v>0.10253114494759741</v>
      </c>
      <c r="J32" s="54">
        <v>0.64265511755347338</v>
      </c>
    </row>
    <row r="33" spans="1:10" x14ac:dyDescent="0.2">
      <c r="A33" s="24" t="str">
        <f>VLOOKUP("&lt;Zeilentitel_21&gt;",Uebersetzungen!$B$4:$E$78,Uebersetzungen!$B$2+1,FALSE)</f>
        <v>Brasilien</v>
      </c>
      <c r="B33" s="5"/>
      <c r="C33" s="51">
        <v>1231</v>
      </c>
      <c r="D33" s="52">
        <v>743</v>
      </c>
      <c r="E33" s="53">
        <f t="shared" si="0"/>
        <v>0.65679676985195146</v>
      </c>
      <c r="F33" s="72">
        <v>1.4414914716382388</v>
      </c>
      <c r="G33" s="76">
        <v>23754</v>
      </c>
      <c r="H33" s="52">
        <v>17586</v>
      </c>
      <c r="I33" s="53">
        <f t="shared" si="1"/>
        <v>0.3507335380416241</v>
      </c>
      <c r="J33" s="54">
        <v>0.92010475944128278</v>
      </c>
    </row>
    <row r="34" spans="1:10" x14ac:dyDescent="0.2">
      <c r="A34" s="24" t="str">
        <f>VLOOKUP("&lt;Zeilentitel_22&gt;",Uebersetzungen!$B$4:$E$78,Uebersetzungen!$B$2+1,FALSE)</f>
        <v>Golfstaaten</v>
      </c>
      <c r="B34" s="5"/>
      <c r="C34" s="59">
        <v>1387</v>
      </c>
      <c r="D34" s="55">
        <v>764</v>
      </c>
      <c r="E34" s="53">
        <f t="shared" si="0"/>
        <v>0.8154450261780104</v>
      </c>
      <c r="F34" s="72">
        <v>1.4670935610103166</v>
      </c>
      <c r="G34" s="77">
        <v>24748</v>
      </c>
      <c r="H34" s="55">
        <v>19488</v>
      </c>
      <c r="I34" s="53">
        <f t="shared" si="1"/>
        <v>0.2699096880131362</v>
      </c>
      <c r="J34" s="54">
        <v>0.95389231012158526</v>
      </c>
    </row>
    <row r="35" spans="1:10" x14ac:dyDescent="0.2">
      <c r="A35" s="24" t="str">
        <f>VLOOKUP("&lt;Zeilentitel_23&gt;",Uebersetzungen!$B$4:$E$78,Uebersetzungen!$B$2+1,FALSE)</f>
        <v>Übrige Herkunftsländer</v>
      </c>
      <c r="B35" s="5"/>
      <c r="C35" s="56">
        <f>C36-SUM(C13:C34)</f>
        <v>15376</v>
      </c>
      <c r="D35" s="57">
        <f>D36-SUM(D13:D34)</f>
        <v>13511</v>
      </c>
      <c r="E35" s="53">
        <f t="shared" si="0"/>
        <v>0.13803567463548228</v>
      </c>
      <c r="F35" s="73" t="s">
        <v>50</v>
      </c>
      <c r="G35" s="78">
        <f>G36-SUM(G13:G34)</f>
        <v>200574</v>
      </c>
      <c r="H35" s="57">
        <f>H36-SUM(H13:H34)</f>
        <v>181748</v>
      </c>
      <c r="I35" s="53">
        <f t="shared" si="1"/>
        <v>0.10358298303145008</v>
      </c>
      <c r="J35" s="58" t="s">
        <v>50</v>
      </c>
    </row>
    <row r="36" spans="1:10" ht="13.5" thickBot="1" x14ac:dyDescent="0.25">
      <c r="A36" s="26" t="str">
        <f>VLOOKUP("&lt;Zeilentitel_24&gt;",Uebersetzungen!$B$4:$E$78,Uebersetzungen!$B$2+1,FALSE)</f>
        <v>Graubünden</v>
      </c>
      <c r="B36" s="25"/>
      <c r="C36" s="30">
        <f>C61</f>
        <v>421150</v>
      </c>
      <c r="D36" s="19">
        <f>D61</f>
        <v>460556</v>
      </c>
      <c r="E36" s="12">
        <f t="shared" si="0"/>
        <v>-8.5561799216599121E-2</v>
      </c>
      <c r="F36" s="74">
        <f>F61</f>
        <v>-7.9522763752845727E-2</v>
      </c>
      <c r="G36" s="79">
        <f t="shared" ref="G36:H36" si="2">G61</f>
        <v>4503268</v>
      </c>
      <c r="H36" s="19">
        <f t="shared" si="2"/>
        <v>4464020</v>
      </c>
      <c r="I36" s="12">
        <f t="shared" si="1"/>
        <v>8.7920753043220223E-3</v>
      </c>
      <c r="J36" s="47">
        <f>J61</f>
        <v>4.9400739985064668E-2</v>
      </c>
    </row>
    <row r="37" spans="1:10" x14ac:dyDescent="0.2">
      <c r="C37" s="15"/>
      <c r="D37" s="16"/>
      <c r="E37" s="28"/>
      <c r="F37" s="27"/>
      <c r="I37" s="15"/>
      <c r="J37" s="15"/>
    </row>
    <row r="38" spans="1:10" x14ac:dyDescent="0.2">
      <c r="C38" s="15"/>
    </row>
    <row r="39" spans="1:10" ht="18" x14ac:dyDescent="0.25">
      <c r="A39" s="2" t="str">
        <f>VLOOKUP("&lt;T9Titel2&gt;",Uebersetzungen!$B$4:$E$304,Uebersetzungen!$B$2+1,FALSE)</f>
        <v>Hotel- und Kurbetriebe: Logiernächte im September 2024, nach Destinationen</v>
      </c>
      <c r="B39" s="3"/>
      <c r="C39" s="3"/>
      <c r="D39" s="3"/>
      <c r="E39" s="3"/>
      <c r="F39" s="3"/>
    </row>
    <row r="40" spans="1:10" s="123" customFormat="1" x14ac:dyDescent="0.2">
      <c r="A40" s="120" t="str">
        <f>VLOOKUP("&lt;Titelprov&gt;",Uebersetzungen!$B$4:$E$304,Uebersetzungen!$B$2+1,FALSE)</f>
        <v>definitive Ergebnisse</v>
      </c>
      <c r="B40" s="121"/>
      <c r="C40" s="122"/>
      <c r="D40" s="122"/>
      <c r="E40" s="122"/>
      <c r="F40" s="122"/>
      <c r="G40" s="122"/>
    </row>
    <row r="41" spans="1:10" ht="13.5" thickBot="1" x14ac:dyDescent="0.25"/>
    <row r="42" spans="1:10" ht="51" x14ac:dyDescent="0.2">
      <c r="A42" s="8"/>
      <c r="B42" s="9"/>
      <c r="C42" s="20" t="str">
        <f>VLOOKUP("&lt;T9SpaltenTitel_1&gt;",Uebersetzungen!$B$4:$E$304,Uebersetzungen!$B$2+1,FALSE)</f>
        <v>September 2024</v>
      </c>
      <c r="D42" s="21" t="str">
        <f>VLOOKUP("&lt;T9SpaltenTitel_2&gt;",Uebersetzungen!$B$4:$E$304,Uebersetzungen!$B$2+1,FALSE)</f>
        <v>September 2023</v>
      </c>
      <c r="E42" s="22" t="str">
        <f>VLOOKUP("&lt;SpaltenTitel_3&gt;",Uebersetzungen!$B$4:$E$304,Uebersetzungen!$B$2+1,FALSE)</f>
        <v>Veränderung 24/23 in %</v>
      </c>
      <c r="F42" s="22" t="str">
        <f>VLOOKUP("&lt;SpaltenTitel_4&gt;",Uebersetzungen!$B$4:$E$304,Uebersetzungen!$B$2+1,FALSE)</f>
        <v>Veränderung zum
5-Jahresmittel 
in %</v>
      </c>
      <c r="G42" s="75" t="str">
        <f>VLOOKUP("&lt;T9SpaltenTitel_5&gt;",Uebersetzungen!$B$4:$E$304,Uebersetzungen!$B$2+1,FALSE)</f>
        <v>Januar-September 24</v>
      </c>
      <c r="H42" s="22" t="str">
        <f>VLOOKUP("&lt;T9SpaltenTitel_6&gt;",Uebersetzungen!$B$4:$E$304,Uebersetzungen!$B$2+1,FALSE)</f>
        <v>Januar-September 23</v>
      </c>
      <c r="I42" s="22" t="str">
        <f>VLOOKUP("&lt;SpaltenTitel_7&gt;",Uebersetzungen!$B$4:$E$304,Uebersetzungen!$B$2+1,FALSE)</f>
        <v>Veränderung 24/23 in %</v>
      </c>
      <c r="J42" s="23" t="str">
        <f>VLOOKUP("&lt;SpaltenTitel_8&gt;",Uebersetzungen!$B$4:$E$304,Uebersetzungen!$B$2+1,FALSE)</f>
        <v>Veränderung zum
5-Jahresmittel 
in %</v>
      </c>
    </row>
    <row r="43" spans="1:10" x14ac:dyDescent="0.2">
      <c r="A43" s="24" t="str">
        <f>VLOOKUP("&lt;Zeilentitel_25&gt;",Uebersetzungen!$B$4:$E$78,Uebersetzungen!$B$2+1,FALSE)</f>
        <v>Arosa</v>
      </c>
      <c r="B43" s="5"/>
      <c r="C43" s="13">
        <v>19921</v>
      </c>
      <c r="D43" s="17">
        <v>22279</v>
      </c>
      <c r="E43" s="10">
        <f>C43/D43-1</f>
        <v>-0.10583957987342341</v>
      </c>
      <c r="F43" s="80">
        <v>-8.9159160532211623E-2</v>
      </c>
      <c r="G43" s="83">
        <v>355344</v>
      </c>
      <c r="H43" s="17">
        <v>333549</v>
      </c>
      <c r="I43" s="10">
        <f>G43/H43-1</f>
        <v>6.5342723258052127E-2</v>
      </c>
      <c r="J43" s="44">
        <v>0.11056452696684338</v>
      </c>
    </row>
    <row r="44" spans="1:10" x14ac:dyDescent="0.2">
      <c r="A44" s="24" t="str">
        <f>VLOOKUP("&lt;Zeilentitel_26&gt;",Uebersetzungen!$B$4:$E$78,Uebersetzungen!$B$2+1,FALSE)</f>
        <v>Bergün Filisur</v>
      </c>
      <c r="B44" s="5"/>
      <c r="C44" s="13">
        <v>5551</v>
      </c>
      <c r="D44" s="17">
        <v>5986</v>
      </c>
      <c r="E44" s="10">
        <f t="shared" ref="E44:E61" si="3">C44/D44-1</f>
        <v>-7.2669562312061453E-2</v>
      </c>
      <c r="F44" s="80">
        <v>-9.1548834773500842E-2</v>
      </c>
      <c r="G44" s="83">
        <v>48823</v>
      </c>
      <c r="H44" s="17">
        <v>53736</v>
      </c>
      <c r="I44" s="10">
        <f t="shared" ref="I44:I61" si="4">G44/H44-1</f>
        <v>-9.1428465088581157E-2</v>
      </c>
      <c r="J44" s="44">
        <v>-6.1009477797950518E-2</v>
      </c>
    </row>
    <row r="45" spans="1:10" x14ac:dyDescent="0.2">
      <c r="A45" s="24" t="str">
        <f>VLOOKUP("&lt;Zeilentitel_27&gt;",Uebersetzungen!$B$4:$E$78,Uebersetzungen!$B$2+1,FALSE)</f>
        <v>Bregaglia Engadin</v>
      </c>
      <c r="B45" s="5"/>
      <c r="C45" s="13">
        <v>4973</v>
      </c>
      <c r="D45" s="17">
        <v>5796</v>
      </c>
      <c r="E45" s="10">
        <f t="shared" si="3"/>
        <v>-0.1419944789510007</v>
      </c>
      <c r="F45" s="80">
        <v>-0.18174937475319208</v>
      </c>
      <c r="G45" s="83">
        <v>45939</v>
      </c>
      <c r="H45" s="17">
        <v>44048</v>
      </c>
      <c r="I45" s="10">
        <f t="shared" si="4"/>
        <v>4.2930439520523E-2</v>
      </c>
      <c r="J45" s="44">
        <v>7.703815494496391E-3</v>
      </c>
    </row>
    <row r="46" spans="1:10" x14ac:dyDescent="0.2">
      <c r="A46" s="24" t="str">
        <f>VLOOKUP("&lt;Zeilentitel_28&gt;",Uebersetzungen!$B$4:$E$78,Uebersetzungen!$B$2+1,FALSE)</f>
        <v>Bündner Herrschaft</v>
      </c>
      <c r="B46" s="5"/>
      <c r="C46" s="13">
        <v>6016</v>
      </c>
      <c r="D46" s="17">
        <v>5747</v>
      </c>
      <c r="E46" s="10">
        <f t="shared" si="3"/>
        <v>4.6807029754654561E-2</v>
      </c>
      <c r="F46" s="80">
        <v>9.3818181818181801E-2</v>
      </c>
      <c r="G46" s="83">
        <v>45795</v>
      </c>
      <c r="H46" s="17">
        <v>42055</v>
      </c>
      <c r="I46" s="10">
        <f t="shared" si="4"/>
        <v>8.8931161574129058E-2</v>
      </c>
      <c r="J46" s="44">
        <v>0.26397284093731876</v>
      </c>
    </row>
    <row r="47" spans="1:10" x14ac:dyDescent="0.2">
      <c r="A47" s="24" t="str">
        <f>VLOOKUP("&lt;Zeilentitel_29&gt;",Uebersetzungen!$B$4:$E$78,Uebersetzungen!$B$2+1,FALSE)</f>
        <v>Chur</v>
      </c>
      <c r="B47" s="5"/>
      <c r="C47" s="13">
        <v>23824</v>
      </c>
      <c r="D47" s="17">
        <v>23615</v>
      </c>
      <c r="E47" s="10">
        <f t="shared" si="3"/>
        <v>8.8503070082575075E-3</v>
      </c>
      <c r="F47" s="80">
        <v>0.17002259110107065</v>
      </c>
      <c r="G47" s="83">
        <v>193051</v>
      </c>
      <c r="H47" s="17">
        <v>176277</v>
      </c>
      <c r="I47" s="10">
        <f t="shared" si="4"/>
        <v>9.5157053954855186E-2</v>
      </c>
      <c r="J47" s="44">
        <v>0.35546106501264552</v>
      </c>
    </row>
    <row r="48" spans="1:10" x14ac:dyDescent="0.2">
      <c r="A48" s="24" t="str">
        <f>VLOOKUP("&lt;Zeilentitel_30&gt;",Uebersetzungen!$B$4:$E$78,Uebersetzungen!$B$2+1,FALSE)</f>
        <v>Davos Klosters</v>
      </c>
      <c r="B48" s="5"/>
      <c r="C48" s="13">
        <v>74844</v>
      </c>
      <c r="D48" s="17">
        <v>78689</v>
      </c>
      <c r="E48" s="10">
        <f t="shared" si="3"/>
        <v>-4.8863246451219311E-2</v>
      </c>
      <c r="F48" s="80">
        <v>-4.4438145869880041E-2</v>
      </c>
      <c r="G48" s="83">
        <v>786578</v>
      </c>
      <c r="H48" s="17">
        <v>779574</v>
      </c>
      <c r="I48" s="10">
        <f t="shared" si="4"/>
        <v>8.9843940408480538E-3</v>
      </c>
      <c r="J48" s="44">
        <v>3.7426203644572498E-2</v>
      </c>
    </row>
    <row r="49" spans="1:10" x14ac:dyDescent="0.2">
      <c r="A49" s="24" t="str">
        <f>VLOOKUP("&lt;Zeilentitel_31&gt;",Uebersetzungen!$B$4:$E$78,Uebersetzungen!$B$2+1,FALSE)</f>
        <v>Disentis Sedrun</v>
      </c>
      <c r="B49" s="5"/>
      <c r="C49" s="13">
        <v>7916</v>
      </c>
      <c r="D49" s="17">
        <v>9048</v>
      </c>
      <c r="E49" s="10">
        <f t="shared" si="3"/>
        <v>-0.12511052166224579</v>
      </c>
      <c r="F49" s="80">
        <v>-0.22961636529964768</v>
      </c>
      <c r="G49" s="83">
        <v>113491</v>
      </c>
      <c r="H49" s="17">
        <v>117222</v>
      </c>
      <c r="I49" s="10">
        <f t="shared" si="4"/>
        <v>-3.1828496357339087E-2</v>
      </c>
      <c r="J49" s="44">
        <v>4.7867812303220791E-2</v>
      </c>
    </row>
    <row r="50" spans="1:10" x14ac:dyDescent="0.2">
      <c r="A50" s="24" t="str">
        <f>VLOOKUP("&lt;Zeilentitel_32&gt;",Uebersetzungen!$B$4:$E$78,Uebersetzungen!$B$2+1,FALSE)</f>
        <v>Scuol Samnaun Val Müstair</v>
      </c>
      <c r="B50" s="5"/>
      <c r="C50" s="13">
        <v>45815</v>
      </c>
      <c r="D50" s="17">
        <v>50613</v>
      </c>
      <c r="E50" s="10">
        <f t="shared" si="3"/>
        <v>-9.4797779226680867E-2</v>
      </c>
      <c r="F50" s="80">
        <v>-0.16968418458148027</v>
      </c>
      <c r="G50" s="83">
        <v>442407</v>
      </c>
      <c r="H50" s="17">
        <v>436887</v>
      </c>
      <c r="I50" s="10">
        <f t="shared" si="4"/>
        <v>1.2634846081481133E-2</v>
      </c>
      <c r="J50" s="44">
        <v>-5.2779691443186616E-3</v>
      </c>
    </row>
    <row r="51" spans="1:10" x14ac:dyDescent="0.2">
      <c r="A51" s="24" t="str">
        <f>VLOOKUP("&lt;Zeilentitel_33&gt;",Uebersetzungen!$B$4:$E$78,Uebersetzungen!$B$2+1,FALSE)</f>
        <v>Engadin St. Moritz</v>
      </c>
      <c r="B51" s="5"/>
      <c r="C51" s="13">
        <v>133708</v>
      </c>
      <c r="D51" s="17">
        <v>146715</v>
      </c>
      <c r="E51" s="10">
        <f t="shared" si="3"/>
        <v>-8.8654875097979091E-2</v>
      </c>
      <c r="F51" s="80">
        <v>-6.9212476957947855E-2</v>
      </c>
      <c r="G51" s="83">
        <v>1376348</v>
      </c>
      <c r="H51" s="17">
        <v>1382152</v>
      </c>
      <c r="I51" s="10">
        <f t="shared" si="4"/>
        <v>-4.1992487078121865E-3</v>
      </c>
      <c r="J51" s="44">
        <v>6.6002979096753567E-2</v>
      </c>
    </row>
    <row r="52" spans="1:10" x14ac:dyDescent="0.2">
      <c r="A52" s="24" t="str">
        <f>VLOOKUP("&lt;Zeilentitel_34&gt;",Uebersetzungen!$B$4:$E$78,Uebersetzungen!$B$2+1,FALSE)</f>
        <v>Flims Laax</v>
      </c>
      <c r="B52" s="5"/>
      <c r="C52" s="13">
        <v>28861</v>
      </c>
      <c r="D52" s="17">
        <v>34367</v>
      </c>
      <c r="E52" s="10">
        <f t="shared" si="3"/>
        <v>-0.16021183111705994</v>
      </c>
      <c r="F52" s="80">
        <v>-0.15682115645304551</v>
      </c>
      <c r="G52" s="83">
        <v>390492</v>
      </c>
      <c r="H52" s="17">
        <v>403857</v>
      </c>
      <c r="I52" s="10">
        <f t="shared" si="4"/>
        <v>-3.3093396920196971E-2</v>
      </c>
      <c r="J52" s="44">
        <v>-5.1637628292621307E-2</v>
      </c>
    </row>
    <row r="53" spans="1:10" x14ac:dyDescent="0.2">
      <c r="A53" s="24" t="str">
        <f>VLOOKUP("&lt;Zeilentitel_35&gt;",Uebersetzungen!$B$4:$E$78,Uebersetzungen!$B$2+1,FALSE)</f>
        <v>Lenzerheide</v>
      </c>
      <c r="B53" s="5"/>
      <c r="C53" s="13">
        <v>25238</v>
      </c>
      <c r="D53" s="17">
        <v>26283</v>
      </c>
      <c r="E53" s="10">
        <f t="shared" si="3"/>
        <v>-3.9759540387322656E-2</v>
      </c>
      <c r="F53" s="80">
        <v>-3.737889999237165E-2</v>
      </c>
      <c r="G53" s="83">
        <v>265712</v>
      </c>
      <c r="H53" s="17">
        <v>256666</v>
      </c>
      <c r="I53" s="10">
        <f t="shared" si="4"/>
        <v>3.5244247387655525E-2</v>
      </c>
      <c r="J53" s="44">
        <v>1.1176862334697057E-2</v>
      </c>
    </row>
    <row r="54" spans="1:10" x14ac:dyDescent="0.2">
      <c r="A54" s="24" t="str">
        <f>VLOOKUP("&lt;Zeilentitel_36&gt;",Uebersetzungen!$B$4:$E$78,Uebersetzungen!$B$2+1,FALSE)</f>
        <v>Prättigau</v>
      </c>
      <c r="B54" s="5"/>
      <c r="C54" s="13">
        <v>5830</v>
      </c>
      <c r="D54" s="17">
        <v>6889</v>
      </c>
      <c r="E54" s="10">
        <f t="shared" si="3"/>
        <v>-0.1537233270431122</v>
      </c>
      <c r="F54" s="80">
        <v>-3.3552151714077216E-2</v>
      </c>
      <c r="G54" s="83">
        <v>65895</v>
      </c>
      <c r="H54" s="17">
        <v>69347</v>
      </c>
      <c r="I54" s="10">
        <f t="shared" si="4"/>
        <v>-4.9778649400839203E-2</v>
      </c>
      <c r="J54" s="44">
        <v>0.13958660477728801</v>
      </c>
    </row>
    <row r="55" spans="1:10" x14ac:dyDescent="0.2">
      <c r="A55" s="24" t="str">
        <f>VLOOKUP("&lt;Zeilentitel_37&gt;",Uebersetzungen!$B$4:$E$78,Uebersetzungen!$B$2+1,FALSE)</f>
        <v>San Bernardino, Mesolcina/Calanca</v>
      </c>
      <c r="B55" s="5"/>
      <c r="C55" s="13">
        <v>1981</v>
      </c>
      <c r="D55" s="17">
        <v>1942</v>
      </c>
      <c r="E55" s="10">
        <f t="shared" si="3"/>
        <v>2.0082389289392433E-2</v>
      </c>
      <c r="F55" s="80">
        <v>1.2160228898426384E-2</v>
      </c>
      <c r="G55" s="83">
        <v>20634</v>
      </c>
      <c r="H55" s="17">
        <v>20767</v>
      </c>
      <c r="I55" s="10">
        <f t="shared" si="4"/>
        <v>-6.4043915827995956E-3</v>
      </c>
      <c r="J55" s="44">
        <v>4.4558515323633863E-2</v>
      </c>
    </row>
    <row r="56" spans="1:10" x14ac:dyDescent="0.2">
      <c r="A56" s="24" t="str">
        <f>VLOOKUP("&lt;Zeilentitel_38&gt;",Uebersetzungen!$B$4:$E$78,Uebersetzungen!$B$2+1,FALSE)</f>
        <v>Val Surses</v>
      </c>
      <c r="B56" s="5"/>
      <c r="C56" s="13">
        <v>7430</v>
      </c>
      <c r="D56" s="17">
        <v>7352</v>
      </c>
      <c r="E56" s="10">
        <f t="shared" si="3"/>
        <v>1.0609357997823698E-2</v>
      </c>
      <c r="F56" s="80">
        <v>0.13466296081365869</v>
      </c>
      <c r="G56" s="83">
        <v>82169</v>
      </c>
      <c r="H56" s="17">
        <v>73347</v>
      </c>
      <c r="I56" s="10">
        <f t="shared" si="4"/>
        <v>0.12027758463195504</v>
      </c>
      <c r="J56" s="44">
        <v>0.26222376518081791</v>
      </c>
    </row>
    <row r="57" spans="1:10" x14ac:dyDescent="0.2">
      <c r="A57" s="24" t="str">
        <f>VLOOKUP("&lt;Zeilentitel_39&gt;",Uebersetzungen!$B$4:$E$78,Uebersetzungen!$B$2+1,FALSE)</f>
        <v>Surselva</v>
      </c>
      <c r="B57" s="5"/>
      <c r="C57" s="13">
        <v>7680</v>
      </c>
      <c r="D57" s="17">
        <v>8817</v>
      </c>
      <c r="E57" s="10">
        <f t="shared" si="3"/>
        <v>-0.12895542701599183</v>
      </c>
      <c r="F57" s="80">
        <v>-0.15728487721377304</v>
      </c>
      <c r="G57" s="83">
        <v>83011</v>
      </c>
      <c r="H57" s="17">
        <v>82938</v>
      </c>
      <c r="I57" s="10">
        <f t="shared" si="4"/>
        <v>8.8017555282249305E-4</v>
      </c>
      <c r="J57" s="44">
        <v>-6.4295778616919153E-2</v>
      </c>
    </row>
    <row r="58" spans="1:10" x14ac:dyDescent="0.2">
      <c r="A58" s="24" t="str">
        <f>VLOOKUP("&lt;Zeilentitel_40&gt;",Uebersetzungen!$B$4:$E$78,Uebersetzungen!$B$2+1,FALSE)</f>
        <v>Valposchiavo</v>
      </c>
      <c r="B58" s="5"/>
      <c r="C58" s="13">
        <v>8103</v>
      </c>
      <c r="D58" s="17">
        <v>10968</v>
      </c>
      <c r="E58" s="10">
        <f t="shared" si="3"/>
        <v>-0.26121444201312916</v>
      </c>
      <c r="F58" s="80">
        <v>-0.2006037646501716</v>
      </c>
      <c r="G58" s="83">
        <v>60300</v>
      </c>
      <c r="H58" s="17">
        <v>63486</v>
      </c>
      <c r="I58" s="10">
        <f t="shared" si="4"/>
        <v>-5.0184292599943281E-2</v>
      </c>
      <c r="J58" s="44">
        <v>5.2819040834712672E-2</v>
      </c>
    </row>
    <row r="59" spans="1:10" x14ac:dyDescent="0.2">
      <c r="A59" s="24" t="str">
        <f>VLOOKUP("&lt;Zeilentitel_41&gt;",Uebersetzungen!$B$4:$E$78,Uebersetzungen!$B$2+1,FALSE)</f>
        <v>Vals</v>
      </c>
      <c r="B59" s="5"/>
      <c r="C59" s="13">
        <v>4683</v>
      </c>
      <c r="D59" s="17">
        <v>5282</v>
      </c>
      <c r="E59" s="10">
        <f t="shared" si="3"/>
        <v>-0.11340401363120034</v>
      </c>
      <c r="F59" s="80">
        <v>-0.2246688741721854</v>
      </c>
      <c r="G59" s="83">
        <v>50039</v>
      </c>
      <c r="H59" s="17">
        <v>50976</v>
      </c>
      <c r="I59" s="10">
        <f t="shared" si="4"/>
        <v>-1.8381198995605752E-2</v>
      </c>
      <c r="J59" s="44">
        <v>-7.489027506110213E-2</v>
      </c>
    </row>
    <row r="60" spans="1:10" x14ac:dyDescent="0.2">
      <c r="A60" s="24" t="str">
        <f>VLOOKUP("&lt;Zeilentitel_42&gt;",Uebersetzungen!$B$4:$E$78,Uebersetzungen!$B$2+1,FALSE)</f>
        <v>Viamala</v>
      </c>
      <c r="B60" s="7"/>
      <c r="C60" s="14">
        <v>8776</v>
      </c>
      <c r="D60" s="18">
        <v>10168</v>
      </c>
      <c r="E60" s="11">
        <f t="shared" si="3"/>
        <v>-0.13690007867820608</v>
      </c>
      <c r="F60" s="81">
        <v>-0.11450135206037848</v>
      </c>
      <c r="G60" s="84">
        <v>77240</v>
      </c>
      <c r="H60" s="18">
        <v>77136</v>
      </c>
      <c r="I60" s="11">
        <f t="shared" si="4"/>
        <v>1.3482679941920761E-3</v>
      </c>
      <c r="J60" s="46">
        <v>2.4490142399354875E-2</v>
      </c>
    </row>
    <row r="61" spans="1:10" ht="13.5" thickBot="1" x14ac:dyDescent="0.25">
      <c r="A61" s="26" t="str">
        <f>VLOOKUP("&lt;Zeilentitel_43&gt;",Uebersetzungen!$B$4:$E$78,Uebersetzungen!$B$2+1,FALSE)</f>
        <v>Graubünden</v>
      </c>
      <c r="B61" s="6"/>
      <c r="C61" s="30">
        <v>421150</v>
      </c>
      <c r="D61" s="40">
        <v>460556</v>
      </c>
      <c r="E61" s="65">
        <f t="shared" si="3"/>
        <v>-8.5561799216599121E-2</v>
      </c>
      <c r="F61" s="82">
        <v>-7.9522763752845727E-2</v>
      </c>
      <c r="G61" s="79">
        <v>4503268</v>
      </c>
      <c r="H61" s="40">
        <v>4464020</v>
      </c>
      <c r="I61" s="65">
        <f t="shared" si="4"/>
        <v>8.7920753043220223E-3</v>
      </c>
      <c r="J61" s="66">
        <v>4.9400739985064668E-2</v>
      </c>
    </row>
    <row r="63" spans="1:10" x14ac:dyDescent="0.2">
      <c r="A63" s="4" t="str">
        <f>VLOOKUP("&lt;Legende_1&gt;",Uebersetzungen!$B$4:$E$80,Uebersetzungen!$B$2+1,FALSE)</f>
        <v>Aktuelle Zuordnung der politischen Gemeinden zu Destinationen:</v>
      </c>
      <c r="E63" s="67" t="s">
        <v>214</v>
      </c>
      <c r="F63" s="49"/>
    </row>
    <row r="65" spans="1:10" ht="10.5" customHeight="1" x14ac:dyDescent="0.2"/>
    <row r="66" spans="1:10" ht="18" x14ac:dyDescent="0.25">
      <c r="A66" s="2" t="str">
        <f>VLOOKUP("&lt;T9Titel3&gt;",Uebersetzungen!$B$4:$E$304,Uebersetzungen!$B$2+1,FALSE)</f>
        <v>Hotel- und Kurbetriebe: Logiernächte im September 2024, nach Schweizer Tourismusregionen</v>
      </c>
      <c r="B66" s="3"/>
      <c r="C66" s="3"/>
      <c r="D66" s="3"/>
      <c r="E66" s="3"/>
      <c r="F66" s="3"/>
    </row>
    <row r="67" spans="1:10" s="123" customFormat="1" x14ac:dyDescent="0.2">
      <c r="A67" s="120" t="str">
        <f>VLOOKUP("&lt;Titelprov&gt;",Uebersetzungen!$B$4:$E$304,Uebersetzungen!$B$2+1,FALSE)</f>
        <v>definitive Ergebnisse</v>
      </c>
      <c r="B67" s="121"/>
      <c r="C67" s="122"/>
      <c r="D67" s="122"/>
      <c r="E67" s="122"/>
      <c r="F67" s="122"/>
      <c r="G67" s="122"/>
    </row>
    <row r="68" spans="1:10" ht="18.75" customHeight="1" thickBot="1" x14ac:dyDescent="0.3">
      <c r="A68" s="50"/>
    </row>
    <row r="69" spans="1:10" ht="51" x14ac:dyDescent="0.2">
      <c r="A69" s="8"/>
      <c r="B69" s="9"/>
      <c r="C69" s="20" t="str">
        <f>VLOOKUP("&lt;T9SpaltenTitel_1&gt;",Uebersetzungen!$B$4:$E$304,Uebersetzungen!$B$2+1,FALSE)</f>
        <v>September 2024</v>
      </c>
      <c r="D69" s="21" t="str">
        <f>VLOOKUP("&lt;T9SpaltenTitel_2&gt;",Uebersetzungen!$B$4:$E$304,Uebersetzungen!$B$2+1,FALSE)</f>
        <v>September 2023</v>
      </c>
      <c r="E69" s="22" t="str">
        <f>VLOOKUP("&lt;SpaltenTitel_3&gt;",Uebersetzungen!$B$4:$E$304,Uebersetzungen!$B$2+1,FALSE)</f>
        <v>Veränderung 24/23 in %</v>
      </c>
      <c r="F69" s="22" t="str">
        <f>VLOOKUP("&lt;SpaltenTitel_4&gt;",Uebersetzungen!$B$4:$E$304,Uebersetzungen!$B$2+1,FALSE)</f>
        <v>Veränderung zum
5-Jahresmittel 
in %</v>
      </c>
      <c r="G69" s="75" t="str">
        <f>VLOOKUP("&lt;T9SpaltenTitel_5&gt;",Uebersetzungen!$B$4:$E$304,Uebersetzungen!$B$2+1,FALSE)</f>
        <v>Januar-September 24</v>
      </c>
      <c r="H69" s="22" t="str">
        <f>VLOOKUP("&lt;T9SpaltenTitel_6&gt;",Uebersetzungen!$B$4:$E$304,Uebersetzungen!$B$2+1,FALSE)</f>
        <v>Januar-September 23</v>
      </c>
      <c r="I69" s="22" t="str">
        <f>VLOOKUP("&lt;SpaltenTitel_7&gt;",Uebersetzungen!$B$4:$E$304,Uebersetzungen!$B$2+1,FALSE)</f>
        <v>Veränderung 24/23 in %</v>
      </c>
      <c r="J69" s="23" t="str">
        <f>VLOOKUP("&lt;SpaltenTitel_8&gt;",Uebersetzungen!$B$4:$E$304,Uebersetzungen!$B$2+1,FALSE)</f>
        <v>Veränderung zum
5-Jahresmittel 
in %</v>
      </c>
    </row>
    <row r="70" spans="1:10" x14ac:dyDescent="0.2">
      <c r="A70" s="24" t="str">
        <f>VLOOKUP("&lt;Zeilentitel_44&gt;",Uebersetzungen!$B$4:$E$78,Uebersetzungen!$B$2+1,FALSE)</f>
        <v>Aargau und Solothurn Region</v>
      </c>
      <c r="B70" s="5"/>
      <c r="C70" s="13">
        <v>119584</v>
      </c>
      <c r="D70" s="17">
        <v>110422</v>
      </c>
      <c r="E70" s="10">
        <f>C70/D70-1</f>
        <v>8.2972596040643998E-2</v>
      </c>
      <c r="F70" s="80">
        <v>0.2300678685091353</v>
      </c>
      <c r="G70" s="83">
        <v>933035</v>
      </c>
      <c r="H70" s="17">
        <v>881637</v>
      </c>
      <c r="I70" s="10">
        <f>G70/H70-1</f>
        <v>5.8298369964055574E-2</v>
      </c>
      <c r="J70" s="44">
        <v>0.3069448697264372</v>
      </c>
    </row>
    <row r="71" spans="1:10" x14ac:dyDescent="0.2">
      <c r="A71" s="24" t="str">
        <f>VLOOKUP("&lt;Zeilentitel_45&gt;",Uebersetzungen!$B$4:$E$78,Uebersetzungen!$B$2+1,FALSE)</f>
        <v>Basel Region</v>
      </c>
      <c r="B71" s="5"/>
      <c r="C71" s="13">
        <v>161710</v>
      </c>
      <c r="D71" s="17">
        <v>159433</v>
      </c>
      <c r="E71" s="10">
        <f t="shared" ref="E71:E83" si="5">C71/D71-1</f>
        <v>1.4281861346145508E-2</v>
      </c>
      <c r="F71" s="80">
        <v>0.20515598985853534</v>
      </c>
      <c r="G71" s="83">
        <v>1319111</v>
      </c>
      <c r="H71" s="17">
        <v>1278647</v>
      </c>
      <c r="I71" s="10">
        <f t="shared" ref="I71:I83" si="6">G71/H71-1</f>
        <v>3.1645950758888208E-2</v>
      </c>
      <c r="J71" s="44">
        <v>0.34548684777428895</v>
      </c>
    </row>
    <row r="72" spans="1:10" x14ac:dyDescent="0.2">
      <c r="A72" s="24" t="str">
        <f>VLOOKUP("&lt;Zeilentitel_46&gt;",Uebersetzungen!$B$4:$E$78,Uebersetzungen!$B$2+1,FALSE)</f>
        <v>Bern Region</v>
      </c>
      <c r="B72" s="5"/>
      <c r="C72" s="13">
        <v>617056</v>
      </c>
      <c r="D72" s="17">
        <v>638191</v>
      </c>
      <c r="E72" s="10">
        <f t="shared" si="5"/>
        <v>-3.311704489721734E-2</v>
      </c>
      <c r="F72" s="80">
        <v>0.21691408340764973</v>
      </c>
      <c r="G72" s="83">
        <v>4998106</v>
      </c>
      <c r="H72" s="17">
        <v>4851207</v>
      </c>
      <c r="I72" s="10">
        <f t="shared" si="6"/>
        <v>3.0280917718003009E-2</v>
      </c>
      <c r="J72" s="44">
        <v>0.29814029632917172</v>
      </c>
    </row>
    <row r="73" spans="1:10" x14ac:dyDescent="0.2">
      <c r="A73" s="24" t="str">
        <f>VLOOKUP("&lt;Zeilentitel_47&gt;",Uebersetzungen!$B$4:$E$78,Uebersetzungen!$B$2+1,FALSE)</f>
        <v>Fribourg Region</v>
      </c>
      <c r="B73" s="5"/>
      <c r="C73" s="13">
        <v>47102</v>
      </c>
      <c r="D73" s="17">
        <v>52624</v>
      </c>
      <c r="E73" s="10">
        <f t="shared" si="5"/>
        <v>-0.10493311036789299</v>
      </c>
      <c r="F73" s="80">
        <v>-5.7499408963490595E-3</v>
      </c>
      <c r="G73" s="83">
        <v>376870</v>
      </c>
      <c r="H73" s="17">
        <v>387222</v>
      </c>
      <c r="I73" s="10">
        <f t="shared" si="6"/>
        <v>-2.6734018211775123E-2</v>
      </c>
      <c r="J73" s="44">
        <v>0.11508049693528166</v>
      </c>
    </row>
    <row r="74" spans="1:10" x14ac:dyDescent="0.2">
      <c r="A74" s="24" t="str">
        <f>VLOOKUP("&lt;Zeilentitel_48&gt;",Uebersetzungen!$B$4:$E$78,Uebersetzungen!$B$2+1,FALSE)</f>
        <v>Genf</v>
      </c>
      <c r="B74" s="5"/>
      <c r="C74" s="13">
        <v>338218</v>
      </c>
      <c r="D74" s="17">
        <v>318024</v>
      </c>
      <c r="E74" s="10">
        <f t="shared" si="5"/>
        <v>6.3498352325610741E-2</v>
      </c>
      <c r="F74" s="80">
        <v>0.44308809537016103</v>
      </c>
      <c r="G74" s="83">
        <v>2876953</v>
      </c>
      <c r="H74" s="17">
        <v>2695986</v>
      </c>
      <c r="I74" s="10">
        <f t="shared" si="6"/>
        <v>6.7124606730153635E-2</v>
      </c>
      <c r="J74" s="44">
        <v>0.55922625560953976</v>
      </c>
    </row>
    <row r="75" spans="1:10" x14ac:dyDescent="0.2">
      <c r="A75" s="110" t="str">
        <f>VLOOKUP("&lt;Zeilentitel_49&gt;",Uebersetzungen!$B$4:$E$78,Uebersetzungen!$B$2+1,FALSE)</f>
        <v>Graubünden</v>
      </c>
      <c r="B75" s="60"/>
      <c r="C75" s="61">
        <v>421150</v>
      </c>
      <c r="D75" s="62">
        <v>460556</v>
      </c>
      <c r="E75" s="63">
        <f t="shared" si="5"/>
        <v>-8.5561799216599121E-2</v>
      </c>
      <c r="F75" s="85">
        <v>-7.9522763752845727E-2</v>
      </c>
      <c r="G75" s="87">
        <v>4503268</v>
      </c>
      <c r="H75" s="62">
        <v>4464020</v>
      </c>
      <c r="I75" s="63">
        <f t="shared" si="6"/>
        <v>8.7920753043220223E-3</v>
      </c>
      <c r="J75" s="64">
        <v>4.9400739985064668E-2</v>
      </c>
    </row>
    <row r="76" spans="1:10" x14ac:dyDescent="0.2">
      <c r="A76" s="24" t="str">
        <f>VLOOKUP("&lt;Zeilentitel_50&gt;",Uebersetzungen!$B$4:$E$78,Uebersetzungen!$B$2+1,FALSE)</f>
        <v>Jura &amp; Drei-Seen-Land</v>
      </c>
      <c r="B76" s="5"/>
      <c r="C76" s="13">
        <v>63887</v>
      </c>
      <c r="D76" s="17">
        <v>65898</v>
      </c>
      <c r="E76" s="10">
        <f t="shared" si="5"/>
        <v>-3.051685938875226E-2</v>
      </c>
      <c r="F76" s="80">
        <v>4.058623475450851E-2</v>
      </c>
      <c r="G76" s="83">
        <v>485287</v>
      </c>
      <c r="H76" s="17">
        <v>474088</v>
      </c>
      <c r="I76" s="10">
        <f t="shared" si="6"/>
        <v>2.3622196722971278E-2</v>
      </c>
      <c r="J76" s="44">
        <v>0.12545142177566815</v>
      </c>
    </row>
    <row r="77" spans="1:10" x14ac:dyDescent="0.2">
      <c r="A77" s="24" t="str">
        <f>VLOOKUP("&lt;Zeilentitel_51&gt;",Uebersetzungen!$B$4:$E$78,Uebersetzungen!$B$2+1,FALSE)</f>
        <v>Luzern / Vierwaldstättersee</v>
      </c>
      <c r="B77" s="5"/>
      <c r="C77" s="13">
        <v>401297</v>
      </c>
      <c r="D77" s="17">
        <v>406687</v>
      </c>
      <c r="E77" s="10">
        <f t="shared" si="5"/>
        <v>-1.3253435688871273E-2</v>
      </c>
      <c r="F77" s="80">
        <v>0.17053542259765719</v>
      </c>
      <c r="G77" s="83">
        <v>3221216</v>
      </c>
      <c r="H77" s="17">
        <v>3130787</v>
      </c>
      <c r="I77" s="10">
        <f t="shared" si="6"/>
        <v>2.8883791838921091E-2</v>
      </c>
      <c r="J77" s="44">
        <v>0.25973934960041434</v>
      </c>
    </row>
    <row r="78" spans="1:10" x14ac:dyDescent="0.2">
      <c r="A78" s="24" t="str">
        <f>VLOOKUP("&lt;Zeilentitel_52&gt;",Uebersetzungen!$B$4:$E$78,Uebersetzungen!$B$2+1,FALSE)</f>
        <v>Ostschweiz</v>
      </c>
      <c r="B78" s="5"/>
      <c r="C78" s="13">
        <v>208315</v>
      </c>
      <c r="D78" s="17">
        <v>223457</v>
      </c>
      <c r="E78" s="10">
        <f t="shared" si="5"/>
        <v>-6.7762477792147946E-2</v>
      </c>
      <c r="F78" s="80">
        <v>1.2863362269739609E-2</v>
      </c>
      <c r="G78" s="83">
        <v>1602616</v>
      </c>
      <c r="H78" s="17">
        <v>1608956</v>
      </c>
      <c r="I78" s="10">
        <f t="shared" si="6"/>
        <v>-3.9404433682462825E-3</v>
      </c>
      <c r="J78" s="44">
        <v>0.10775471710372542</v>
      </c>
    </row>
    <row r="79" spans="1:10" x14ac:dyDescent="0.2">
      <c r="A79" s="24" t="str">
        <f>VLOOKUP("&lt;Zeilentitel_53&gt;",Uebersetzungen!$B$4:$E$78,Uebersetzungen!$B$2+1,FALSE)</f>
        <v>Tessin</v>
      </c>
      <c r="B79" s="5"/>
      <c r="C79" s="13">
        <v>291455</v>
      </c>
      <c r="D79" s="17">
        <v>280992</v>
      </c>
      <c r="E79" s="10">
        <f t="shared" si="5"/>
        <v>3.7235935542648813E-2</v>
      </c>
      <c r="F79" s="80">
        <v>-3.6996922540130206E-2</v>
      </c>
      <c r="G79" s="83">
        <v>1994223</v>
      </c>
      <c r="H79" s="17">
        <v>2051299</v>
      </c>
      <c r="I79" s="10">
        <f t="shared" si="6"/>
        <v>-2.7824320101555111E-2</v>
      </c>
      <c r="J79" s="44">
        <v>-1.0426968397445058E-2</v>
      </c>
    </row>
    <row r="80" spans="1:10" x14ac:dyDescent="0.2">
      <c r="A80" s="24" t="str">
        <f>VLOOKUP("&lt;Zeilentitel_54&gt;",Uebersetzungen!$B$4:$E$78,Uebersetzungen!$B$2+1,FALSE)</f>
        <v>Waadt</v>
      </c>
      <c r="B80" s="5"/>
      <c r="C80" s="13">
        <v>281454</v>
      </c>
      <c r="D80" s="17">
        <v>287908</v>
      </c>
      <c r="E80" s="10">
        <f t="shared" si="5"/>
        <v>-2.241688317101298E-2</v>
      </c>
      <c r="F80" s="80">
        <v>0.13940223221695502</v>
      </c>
      <c r="G80" s="83">
        <v>2292118</v>
      </c>
      <c r="H80" s="17">
        <v>2283603</v>
      </c>
      <c r="I80" s="10">
        <f t="shared" si="6"/>
        <v>3.7287567059598459E-3</v>
      </c>
      <c r="J80" s="44">
        <v>0.20336985012306608</v>
      </c>
    </row>
    <row r="81" spans="1:10" x14ac:dyDescent="0.2">
      <c r="A81" s="24" t="str">
        <f>VLOOKUP("&lt;Zeilentitel_55&gt;",Uebersetzungen!$B$4:$E$78,Uebersetzungen!$B$2+1,FALSE)</f>
        <v>Wallis</v>
      </c>
      <c r="B81" s="5"/>
      <c r="C81" s="13">
        <v>384379</v>
      </c>
      <c r="D81" s="17">
        <v>407356</v>
      </c>
      <c r="E81" s="33">
        <f t="shared" si="5"/>
        <v>-5.6405208220819181E-2</v>
      </c>
      <c r="F81" s="80">
        <v>6.1496128530896366E-2</v>
      </c>
      <c r="G81" s="83">
        <v>3642576</v>
      </c>
      <c r="H81" s="17">
        <v>3693956</v>
      </c>
      <c r="I81" s="33">
        <f t="shared" si="6"/>
        <v>-1.3909207364678933E-2</v>
      </c>
      <c r="J81" s="44">
        <v>0.12990093806032466</v>
      </c>
    </row>
    <row r="82" spans="1:10" x14ac:dyDescent="0.2">
      <c r="A82" s="24" t="str">
        <f>VLOOKUP("&lt;Zeilentitel_56&gt;",Uebersetzungen!$B$4:$E$78,Uebersetzungen!$B$2+1,FALSE)</f>
        <v>Zürich Region</v>
      </c>
      <c r="B82" s="7"/>
      <c r="C82" s="14">
        <v>697531</v>
      </c>
      <c r="D82" s="18">
        <v>665227</v>
      </c>
      <c r="E82" s="43">
        <f t="shared" si="5"/>
        <v>4.8560867192702695E-2</v>
      </c>
      <c r="F82" s="11">
        <v>0.36880664596246482</v>
      </c>
      <c r="G82" s="84">
        <v>5518712</v>
      </c>
      <c r="H82" s="18">
        <v>5258283</v>
      </c>
      <c r="I82" s="43">
        <f t="shared" si="6"/>
        <v>4.9527383748649401E-2</v>
      </c>
      <c r="J82" s="48">
        <v>0.4914042367170941</v>
      </c>
    </row>
    <row r="83" spans="1:10" ht="13.5" thickBot="1" x14ac:dyDescent="0.25">
      <c r="A83" s="71" t="str">
        <f>VLOOKUP("&lt;Zeilentitel_57&gt;",Uebersetzungen!$B$4:$E$78,Uebersetzungen!$B$2+1,FALSE)</f>
        <v>Schweiz</v>
      </c>
      <c r="B83" s="39"/>
      <c r="C83" s="30">
        <v>4033138</v>
      </c>
      <c r="D83" s="40">
        <v>4076775</v>
      </c>
      <c r="E83" s="41">
        <f t="shared" si="5"/>
        <v>-1.0703803864574368E-2</v>
      </c>
      <c r="F83" s="86">
        <v>0.14936496979693037</v>
      </c>
      <c r="G83" s="79">
        <v>33764091</v>
      </c>
      <c r="H83" s="40">
        <v>33059691</v>
      </c>
      <c r="I83" s="41">
        <f t="shared" si="6"/>
        <v>2.1306914211630001E-2</v>
      </c>
      <c r="J83" s="45">
        <v>0.23687167233090878</v>
      </c>
    </row>
    <row r="84" spans="1:10" x14ac:dyDescent="0.2">
      <c r="A84" s="34"/>
      <c r="B84" s="35"/>
      <c r="C84" s="29"/>
      <c r="D84" s="36"/>
      <c r="E84" s="37"/>
      <c r="F84" s="38"/>
    </row>
    <row r="85" spans="1:10" x14ac:dyDescent="0.2">
      <c r="A85" s="4" t="str">
        <f>VLOOKUP("&lt;Quelle_1&gt;",Uebersetzungen!$B$4:$E$86,Uebersetzungen!$B$2+1,FALSE)</f>
        <v>Quelle: BFS (HESTA)</v>
      </c>
    </row>
    <row r="86" spans="1:10" ht="12.75" customHeight="1" x14ac:dyDescent="0.2">
      <c r="A86" s="4" t="str">
        <f>VLOOKUP("&lt;T9Aktualisierung&gt;",Uebersetzungen!$B$4:$E$304,Uebersetzungen!$B$2+1,FALSE)</f>
        <v>Letztmals aktualisiert am: 04.11.2024</v>
      </c>
    </row>
    <row r="87" spans="1:10" x14ac:dyDescent="0.2">
      <c r="A87" s="4" t="str">
        <f>VLOOKUP("&lt;Legende_2&gt;",Uebersetzungen!$B$4:$E$86,Uebersetzungen!$B$2+1,FALSE)</f>
        <v>Kontakt: Luzius Stricker, 081 257 23 74, luzius.stricker@awt.gr.ch</v>
      </c>
    </row>
    <row r="88" spans="1:10" x14ac:dyDescent="0.2">
      <c r="A88" s="31" t="str">
        <f>VLOOKUP("&lt;T9Legende_3&gt;",Uebersetzungen!$B$4:$E$304,Uebersetzungen!$B$2+1,FALSE)</f>
        <v>Daten des Oktober 2024 erscheinen am 5. Dezember 2024.</v>
      </c>
    </row>
    <row r="90" spans="1:10" x14ac:dyDescent="0.2">
      <c r="A90" s="4" t="s">
        <v>55</v>
      </c>
    </row>
  </sheetData>
  <sheetProtection sheet="1" objects="1" scenarios="1"/>
  <mergeCells count="1">
    <mergeCell ref="A7:D7"/>
  </mergeCells>
  <hyperlinks>
    <hyperlink ref="E63" r:id="rId1"/>
  </hyperlinks>
  <pageMargins left="0.70866141732283472" right="0.70866141732283472" top="0.78740157480314965" bottom="0.78740157480314965" header="0.31496062992125984" footer="0.31496062992125984"/>
  <pageSetup paperSize="9" scale="90" fitToHeight="2" orientation="landscape" r:id="rId2"/>
  <rowBreaks count="2" manualBreakCount="2">
    <brk id="38" max="9" man="1"/>
    <brk id="65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/>
  <dimension ref="A1:J90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24" t="str">
        <f>VLOOKUP("&lt;Fachbereich&gt;",Uebersetzungen!$B$4:$E$304,Uebersetzungen!$B$2+1,FALSE)</f>
        <v>Daten &amp; Statistik</v>
      </c>
      <c r="B7" s="124"/>
      <c r="C7" s="124"/>
      <c r="D7" s="124"/>
      <c r="E7" s="95"/>
      <c r="F7" s="1"/>
    </row>
    <row r="8" spans="1:10" ht="10.5" customHeight="1" x14ac:dyDescent="0.2"/>
    <row r="9" spans="1:10" ht="18" x14ac:dyDescent="0.25">
      <c r="A9" s="2" t="str">
        <f>VLOOKUP("&lt;T8Titel1&gt;",Uebersetzungen!$B$4:$E$304,Uebersetzungen!$B$2+1,FALSE)</f>
        <v>Hotel- und Kurbetriebe: Logiernächte im August 2024, nach Herkunft</v>
      </c>
      <c r="B9" s="3"/>
      <c r="C9" s="3"/>
      <c r="D9" s="3"/>
      <c r="E9" s="3"/>
      <c r="F9" s="3"/>
    </row>
    <row r="10" spans="1:10" s="123" customFormat="1" x14ac:dyDescent="0.2">
      <c r="A10" s="120" t="str">
        <f>VLOOKUP("&lt;Titelprov&gt;",Uebersetzungen!$B$4:$E$304,Uebersetzungen!$B$2+1,FALSE)</f>
        <v>definitive Ergebnisse</v>
      </c>
      <c r="B10" s="121"/>
      <c r="C10" s="122"/>
      <c r="D10" s="122"/>
      <c r="E10" s="122"/>
      <c r="F10" s="122"/>
      <c r="G10" s="122"/>
    </row>
    <row r="11" spans="1:10" ht="13.5" thickBot="1" x14ac:dyDescent="0.25"/>
    <row r="12" spans="1:10" ht="51" x14ac:dyDescent="0.2">
      <c r="A12" s="8"/>
      <c r="B12" s="9"/>
      <c r="C12" s="20" t="str">
        <f>VLOOKUP("&lt;T8SpaltenTitel_1&gt;",Uebersetzungen!$B$4:$E$304,Uebersetzungen!$B$2+1,FALSE)</f>
        <v>August 2024</v>
      </c>
      <c r="D12" s="21" t="str">
        <f>VLOOKUP("&lt;T8SpaltenTitel_2&gt;",Uebersetzungen!$B$4:$E$304,Uebersetzungen!$B$2+1,FALSE)</f>
        <v>August 2023</v>
      </c>
      <c r="E12" s="22" t="str">
        <f>VLOOKUP("&lt;SpaltenTitel_3&gt;",Uebersetzungen!$B$4:$E$304,Uebersetzungen!$B$2+1,FALSE)</f>
        <v>Veränderung 24/23 in %</v>
      </c>
      <c r="F12" s="22" t="str">
        <f>VLOOKUP("&lt;SpaltenTitel_4&gt;",Uebersetzungen!$B$4:$E$304,Uebersetzungen!$B$2+1,FALSE)</f>
        <v>Veränderung zum
5-Jahresmittel 
in %</v>
      </c>
      <c r="G12" s="75" t="str">
        <f>VLOOKUP("&lt;T8SpaltenTitel_5&gt;",Uebersetzungen!$B$4:$E$304,Uebersetzungen!$B$2+1,FALSE)</f>
        <v>Januar-August 24</v>
      </c>
      <c r="H12" s="22" t="str">
        <f>VLOOKUP("&lt;T8SpaltenTitel_6&gt;",Uebersetzungen!$B$4:$E$304,Uebersetzungen!$B$2+1,FALSE)</f>
        <v>Januar-August 23</v>
      </c>
      <c r="I12" s="22" t="str">
        <f>VLOOKUP("&lt;SpaltenTitel_7&gt;",Uebersetzungen!$B$4:$E$304,Uebersetzungen!$B$2+1,FALSE)</f>
        <v>Veränderung 24/23 in %</v>
      </c>
      <c r="J12" s="23" t="str">
        <f>VLOOKUP("&lt;SpaltenTitel_8&gt;",Uebersetzungen!$B$4:$E$304,Uebersetzungen!$B$2+1,FALSE)</f>
        <v>Veränderung zum
5-Jahresmittel 
in %</v>
      </c>
    </row>
    <row r="13" spans="1:10" x14ac:dyDescent="0.2">
      <c r="A13" s="24" t="str">
        <f>VLOOKUP("&lt;Zeilentitel_1&gt;",Uebersetzungen!$B$4:$E$78,Uebersetzungen!$B$2+1,FALSE)</f>
        <v>Schweiz</v>
      </c>
      <c r="B13" s="5"/>
      <c r="C13" s="51">
        <v>382049</v>
      </c>
      <c r="D13" s="52">
        <v>357549</v>
      </c>
      <c r="E13" s="53">
        <f t="shared" ref="E13:E36" si="0">C13/D13-1</f>
        <v>6.8522076694383038E-2</v>
      </c>
      <c r="F13" s="72">
        <v>-7.6211929458724792E-2</v>
      </c>
      <c r="G13" s="76">
        <v>2540599</v>
      </c>
      <c r="H13" s="52">
        <v>2529810</v>
      </c>
      <c r="I13" s="53">
        <f t="shared" ref="I13:I36" si="1">G13/H13-1</f>
        <v>4.2647471549246418E-3</v>
      </c>
      <c r="J13" s="54">
        <v>-1.8669088257242783E-2</v>
      </c>
    </row>
    <row r="14" spans="1:10" x14ac:dyDescent="0.2">
      <c r="A14" s="24" t="str">
        <f>VLOOKUP("&lt;Zeilentitel_2&gt;",Uebersetzungen!$B$4:$E$78,Uebersetzungen!$B$2+1,FALSE)</f>
        <v>Deutschland</v>
      </c>
      <c r="B14" s="5"/>
      <c r="C14" s="51">
        <v>85729</v>
      </c>
      <c r="D14" s="52">
        <v>81128</v>
      </c>
      <c r="E14" s="53">
        <f t="shared" si="0"/>
        <v>5.6712848831476093E-2</v>
      </c>
      <c r="F14" s="72">
        <v>-4.3446533694550982E-2</v>
      </c>
      <c r="G14" s="76">
        <v>593171</v>
      </c>
      <c r="H14" s="52">
        <v>565961</v>
      </c>
      <c r="I14" s="53">
        <f t="shared" si="1"/>
        <v>4.8077517708817297E-2</v>
      </c>
      <c r="J14" s="54">
        <v>0.14991142612659814</v>
      </c>
    </row>
    <row r="15" spans="1:10" x14ac:dyDescent="0.2">
      <c r="A15" s="24" t="str">
        <f>VLOOKUP("&lt;Zeilentitel_3&gt;",Uebersetzungen!$B$4:$E$78,Uebersetzungen!$B$2+1,FALSE)</f>
        <v>Italien</v>
      </c>
      <c r="B15" s="5"/>
      <c r="C15" s="51">
        <v>19863</v>
      </c>
      <c r="D15" s="52">
        <v>17526</v>
      </c>
      <c r="E15" s="53">
        <f t="shared" si="0"/>
        <v>0.13334474495035953</v>
      </c>
      <c r="F15" s="72">
        <v>0.13241431210234644</v>
      </c>
      <c r="G15" s="76">
        <v>77942</v>
      </c>
      <c r="H15" s="52">
        <v>72650</v>
      </c>
      <c r="I15" s="53">
        <f t="shared" si="1"/>
        <v>7.2842395044734998E-2</v>
      </c>
      <c r="J15" s="54">
        <v>0.26321282823404313</v>
      </c>
    </row>
    <row r="16" spans="1:10" x14ac:dyDescent="0.2">
      <c r="A16" s="24" t="str">
        <f>VLOOKUP("&lt;Zeilentitel_4&gt;",Uebersetzungen!$B$4:$E$78,Uebersetzungen!$B$2+1,FALSE)</f>
        <v>Frankreich</v>
      </c>
      <c r="B16" s="5"/>
      <c r="C16" s="51">
        <v>9158</v>
      </c>
      <c r="D16" s="52">
        <v>8407</v>
      </c>
      <c r="E16" s="53">
        <f t="shared" si="0"/>
        <v>8.9330319971452354E-2</v>
      </c>
      <c r="F16" s="72">
        <v>9.2318702290076438E-2</v>
      </c>
      <c r="G16" s="76">
        <v>50155</v>
      </c>
      <c r="H16" s="52">
        <v>42749</v>
      </c>
      <c r="I16" s="53">
        <f t="shared" si="1"/>
        <v>0.1732438185688554</v>
      </c>
      <c r="J16" s="54">
        <v>0.27486566314366034</v>
      </c>
    </row>
    <row r="17" spans="1:10" x14ac:dyDescent="0.2">
      <c r="A17" s="24" t="str">
        <f>VLOOKUP("&lt;Zeilentitel_5&gt;",Uebersetzungen!$B$4:$E$78,Uebersetzungen!$B$2+1,FALSE)</f>
        <v>Österreich</v>
      </c>
      <c r="B17" s="5"/>
      <c r="C17" s="51">
        <v>7770</v>
      </c>
      <c r="D17" s="52">
        <v>7399</v>
      </c>
      <c r="E17" s="53">
        <f t="shared" si="0"/>
        <v>5.0141911069063294E-2</v>
      </c>
      <c r="F17" s="72">
        <v>0.20708404536274672</v>
      </c>
      <c r="G17" s="76">
        <v>35892</v>
      </c>
      <c r="H17" s="52">
        <v>35338</v>
      </c>
      <c r="I17" s="53">
        <f t="shared" si="1"/>
        <v>1.5677174712773745E-2</v>
      </c>
      <c r="J17" s="54">
        <v>0.19437752073156123</v>
      </c>
    </row>
    <row r="18" spans="1:10" x14ac:dyDescent="0.2">
      <c r="A18" s="24" t="str">
        <f>VLOOKUP("&lt;Zeilentitel_6&gt;",Uebersetzungen!$B$4:$E$78,Uebersetzungen!$B$2+1,FALSE)</f>
        <v>Niederlande</v>
      </c>
      <c r="B18" s="5"/>
      <c r="C18" s="51">
        <v>14812</v>
      </c>
      <c r="D18" s="52">
        <v>14673</v>
      </c>
      <c r="E18" s="53">
        <f t="shared" si="0"/>
        <v>9.4731820350302254E-3</v>
      </c>
      <c r="F18" s="72">
        <v>0.10580225162003165</v>
      </c>
      <c r="G18" s="76">
        <v>79622</v>
      </c>
      <c r="H18" s="52">
        <v>80399</v>
      </c>
      <c r="I18" s="53">
        <f t="shared" si="1"/>
        <v>-9.6642993072053596E-3</v>
      </c>
      <c r="J18" s="54">
        <v>0.21728308994398371</v>
      </c>
    </row>
    <row r="19" spans="1:10" x14ac:dyDescent="0.2">
      <c r="A19" s="24" t="str">
        <f>VLOOKUP("&lt;Zeilentitel_7&gt;",Uebersetzungen!$B$4:$E$78,Uebersetzungen!$B$2+1,FALSE)</f>
        <v>Belgien</v>
      </c>
      <c r="B19" s="5"/>
      <c r="C19" s="51">
        <v>21683</v>
      </c>
      <c r="D19" s="52">
        <v>34515</v>
      </c>
      <c r="E19" s="53">
        <f t="shared" si="0"/>
        <v>-0.37178038533970736</v>
      </c>
      <c r="F19" s="72">
        <v>-0.34543467629461033</v>
      </c>
      <c r="G19" s="76">
        <v>86362</v>
      </c>
      <c r="H19" s="52">
        <v>117317</v>
      </c>
      <c r="I19" s="53">
        <f t="shared" si="1"/>
        <v>-0.26385775292583347</v>
      </c>
      <c r="J19" s="54">
        <v>-0.15096138910353585</v>
      </c>
    </row>
    <row r="20" spans="1:10" x14ac:dyDescent="0.2">
      <c r="A20" s="24" t="str">
        <f>VLOOKUP("&lt;Zeilentitel_8&gt;",Uebersetzungen!$B$4:$E$78,Uebersetzungen!$B$2+1,FALSE)</f>
        <v>Luxemburg</v>
      </c>
      <c r="B20" s="5"/>
      <c r="C20" s="51">
        <v>1402</v>
      </c>
      <c r="D20" s="52">
        <v>1343</v>
      </c>
      <c r="E20" s="53">
        <f t="shared" si="0"/>
        <v>4.3931496649292523E-2</v>
      </c>
      <c r="F20" s="72">
        <v>-2.2860328965709442E-2</v>
      </c>
      <c r="G20" s="76">
        <v>11987</v>
      </c>
      <c r="H20" s="52">
        <v>11819</v>
      </c>
      <c r="I20" s="53">
        <f t="shared" si="1"/>
        <v>1.4214400541501027E-2</v>
      </c>
      <c r="J20" s="54">
        <v>5.1362113424667122E-2</v>
      </c>
    </row>
    <row r="21" spans="1:10" x14ac:dyDescent="0.2">
      <c r="A21" s="24" t="str">
        <f>VLOOKUP("&lt;Zeilentitel_9&gt;",Uebersetzungen!$B$4:$E$78,Uebersetzungen!$B$2+1,FALSE)</f>
        <v>Vereinigtes Königreich</v>
      </c>
      <c r="B21" s="5"/>
      <c r="C21" s="51">
        <v>15444</v>
      </c>
      <c r="D21" s="52">
        <v>13440</v>
      </c>
      <c r="E21" s="53">
        <f t="shared" si="0"/>
        <v>0.14910714285714288</v>
      </c>
      <c r="F21" s="72">
        <v>0.47667947908897945</v>
      </c>
      <c r="G21" s="76">
        <v>125432</v>
      </c>
      <c r="H21" s="52">
        <v>119485</v>
      </c>
      <c r="I21" s="53">
        <f t="shared" si="1"/>
        <v>4.9771937900154883E-2</v>
      </c>
      <c r="J21" s="54">
        <v>0.4000200908553122</v>
      </c>
    </row>
    <row r="22" spans="1:10" x14ac:dyDescent="0.2">
      <c r="A22" s="24" t="str">
        <f>VLOOKUP("&lt;Zeilentitel_10&gt;",Uebersetzungen!$B$4:$E$78,Uebersetzungen!$B$2+1,FALSE)</f>
        <v>Vereinigte Staaten</v>
      </c>
      <c r="B22" s="5"/>
      <c r="C22" s="51">
        <v>18011</v>
      </c>
      <c r="D22" s="52">
        <v>16639</v>
      </c>
      <c r="E22" s="53">
        <f t="shared" si="0"/>
        <v>8.2456878418174062E-2</v>
      </c>
      <c r="F22" s="72">
        <v>0.60149025465926886</v>
      </c>
      <c r="G22" s="76">
        <v>110032</v>
      </c>
      <c r="H22" s="52">
        <v>96717</v>
      </c>
      <c r="I22" s="53">
        <f t="shared" si="1"/>
        <v>0.13766969612374247</v>
      </c>
      <c r="J22" s="54">
        <v>0.78702284125457966</v>
      </c>
    </row>
    <row r="23" spans="1:10" x14ac:dyDescent="0.2">
      <c r="A23" s="24" t="str">
        <f>VLOOKUP("&lt;Zeilentitel_11&gt;",Uebersetzungen!$B$4:$E$78,Uebersetzungen!$B$2+1,FALSE)</f>
        <v>Polen</v>
      </c>
      <c r="B23" s="5"/>
      <c r="C23" s="51">
        <v>2710</v>
      </c>
      <c r="D23" s="52">
        <v>2364</v>
      </c>
      <c r="E23" s="53">
        <f t="shared" si="0"/>
        <v>0.1463620981387479</v>
      </c>
      <c r="F23" s="72">
        <v>0.56955867021892748</v>
      </c>
      <c r="G23" s="76">
        <v>25033</v>
      </c>
      <c r="H23" s="52">
        <v>22722</v>
      </c>
      <c r="I23" s="53">
        <f t="shared" si="1"/>
        <v>0.10170759616230973</v>
      </c>
      <c r="J23" s="54">
        <v>-0.28775877178007681</v>
      </c>
    </row>
    <row r="24" spans="1:10" x14ac:dyDescent="0.2">
      <c r="A24" s="24" t="str">
        <f>VLOOKUP("&lt;Zeilentitel_12&gt;",Uebersetzungen!$B$4:$E$78,Uebersetzungen!$B$2+1,FALSE)</f>
        <v>Tschechien</v>
      </c>
      <c r="B24" s="5"/>
      <c r="C24" s="51">
        <v>3772</v>
      </c>
      <c r="D24" s="52">
        <v>3020</v>
      </c>
      <c r="E24" s="53">
        <f t="shared" si="0"/>
        <v>0.24900662251655636</v>
      </c>
      <c r="F24" s="72">
        <v>0.40316940703816684</v>
      </c>
      <c r="G24" s="76">
        <v>18504</v>
      </c>
      <c r="H24" s="52">
        <v>17495</v>
      </c>
      <c r="I24" s="53">
        <f t="shared" si="1"/>
        <v>5.7673621034581402E-2</v>
      </c>
      <c r="J24" s="54">
        <v>0.31457800511508949</v>
      </c>
    </row>
    <row r="25" spans="1:10" x14ac:dyDescent="0.2">
      <c r="A25" s="24" t="str">
        <f>VLOOKUP("&lt;Zeilentitel_13&gt;",Uebersetzungen!$B$4:$E$78,Uebersetzungen!$B$2+1,FALSE)</f>
        <v>Russland</v>
      </c>
      <c r="B25" s="5"/>
      <c r="C25" s="51">
        <v>501</v>
      </c>
      <c r="D25" s="52">
        <v>443</v>
      </c>
      <c r="E25" s="53">
        <f t="shared" si="0"/>
        <v>0.13092550790067725</v>
      </c>
      <c r="F25" s="72">
        <v>-0.32479784366576825</v>
      </c>
      <c r="G25" s="76">
        <v>7080</v>
      </c>
      <c r="H25" s="52">
        <v>7374</v>
      </c>
      <c r="I25" s="53">
        <f t="shared" si="1"/>
        <v>-3.9869812855980458E-2</v>
      </c>
      <c r="J25" s="54">
        <v>-0.55308108927015875</v>
      </c>
    </row>
    <row r="26" spans="1:10" x14ac:dyDescent="0.2">
      <c r="A26" s="24" t="str">
        <f>VLOOKUP("&lt;Zeilentitel_14&gt;",Uebersetzungen!$B$4:$E$78,Uebersetzungen!$B$2+1,FALSE)</f>
        <v>Schweden</v>
      </c>
      <c r="B26" s="5"/>
      <c r="C26" s="51">
        <v>1170</v>
      </c>
      <c r="D26" s="52">
        <v>1102</v>
      </c>
      <c r="E26" s="53">
        <f t="shared" si="0"/>
        <v>6.1705989110707904E-2</v>
      </c>
      <c r="F26" s="72">
        <v>0.45233366434955302</v>
      </c>
      <c r="G26" s="76">
        <v>13284</v>
      </c>
      <c r="H26" s="52">
        <v>13829</v>
      </c>
      <c r="I26" s="53">
        <f t="shared" si="1"/>
        <v>-3.9409935642490401E-2</v>
      </c>
      <c r="J26" s="54">
        <v>0.15926346103499411</v>
      </c>
    </row>
    <row r="27" spans="1:10" x14ac:dyDescent="0.2">
      <c r="A27" s="24" t="str">
        <f>VLOOKUP("&lt;Zeilentitel_15&gt;",Uebersetzungen!$B$4:$E$78,Uebersetzungen!$B$2+1,FALSE)</f>
        <v>Norwegen</v>
      </c>
      <c r="B27" s="5"/>
      <c r="C27" s="51">
        <v>513</v>
      </c>
      <c r="D27" s="52">
        <v>416</v>
      </c>
      <c r="E27" s="53">
        <f t="shared" si="0"/>
        <v>0.23317307692307687</v>
      </c>
      <c r="F27" s="72">
        <v>0.21737066919791181</v>
      </c>
      <c r="G27" s="76">
        <v>5609</v>
      </c>
      <c r="H27" s="52">
        <v>6839</v>
      </c>
      <c r="I27" s="53">
        <f t="shared" si="1"/>
        <v>-0.17985085538821466</v>
      </c>
      <c r="J27" s="54">
        <v>6.4366769137348845E-2</v>
      </c>
    </row>
    <row r="28" spans="1:10" x14ac:dyDescent="0.2">
      <c r="A28" s="24" t="str">
        <f>VLOOKUP("&lt;Zeilentitel_16&gt;",Uebersetzungen!$B$4:$E$78,Uebersetzungen!$B$2+1,FALSE)</f>
        <v>Dänemark</v>
      </c>
      <c r="B28" s="5"/>
      <c r="C28" s="51">
        <v>1379</v>
      </c>
      <c r="D28" s="52">
        <v>899</v>
      </c>
      <c r="E28" s="53">
        <f t="shared" si="0"/>
        <v>0.5339265850945496</v>
      </c>
      <c r="F28" s="72">
        <v>0.58834369960838506</v>
      </c>
      <c r="G28" s="76">
        <v>12207</v>
      </c>
      <c r="H28" s="52">
        <v>10950</v>
      </c>
      <c r="I28" s="53">
        <f t="shared" si="1"/>
        <v>0.11479452054794526</v>
      </c>
      <c r="J28" s="54">
        <v>0.23402749696724601</v>
      </c>
    </row>
    <row r="29" spans="1:10" x14ac:dyDescent="0.2">
      <c r="A29" s="24" t="str">
        <f>VLOOKUP("&lt;Zeilentitel_17&gt;",Uebersetzungen!$B$4:$E$78,Uebersetzungen!$B$2+1,FALSE)</f>
        <v>Finnland</v>
      </c>
      <c r="B29" s="5"/>
      <c r="C29" s="51">
        <v>347</v>
      </c>
      <c r="D29" s="52">
        <v>288</v>
      </c>
      <c r="E29" s="53">
        <f t="shared" si="0"/>
        <v>0.20486111111111116</v>
      </c>
      <c r="F29" s="72">
        <v>0.13621480026195165</v>
      </c>
      <c r="G29" s="76">
        <v>5202</v>
      </c>
      <c r="H29" s="52">
        <v>6155</v>
      </c>
      <c r="I29" s="53">
        <f t="shared" si="1"/>
        <v>-0.15483346872461412</v>
      </c>
      <c r="J29" s="54">
        <v>0.11640484161730624</v>
      </c>
    </row>
    <row r="30" spans="1:10" x14ac:dyDescent="0.2">
      <c r="A30" s="24" t="str">
        <f>VLOOKUP("&lt;Zeilentitel_18&gt;",Uebersetzungen!$B$4:$E$78,Uebersetzungen!$B$2+1,FALSE)</f>
        <v>Japan</v>
      </c>
      <c r="B30" s="5"/>
      <c r="C30" s="51">
        <v>3379</v>
      </c>
      <c r="D30" s="52">
        <v>3728</v>
      </c>
      <c r="E30" s="53">
        <f t="shared" si="0"/>
        <v>-9.3615879828326198E-2</v>
      </c>
      <c r="F30" s="72">
        <v>0.401725711441135</v>
      </c>
      <c r="G30" s="76">
        <v>13691</v>
      </c>
      <c r="H30" s="52">
        <v>12461</v>
      </c>
      <c r="I30" s="53">
        <f t="shared" si="1"/>
        <v>9.8707968862852047E-2</v>
      </c>
      <c r="J30" s="54">
        <v>0.41552936311000832</v>
      </c>
    </row>
    <row r="31" spans="1:10" x14ac:dyDescent="0.2">
      <c r="A31" s="24" t="str">
        <f>VLOOKUP("&lt;Zeilentitel_19&gt;",Uebersetzungen!$B$4:$E$78,Uebersetzungen!$B$2+1,FALSE)</f>
        <v>China / Hongkong / Taiwan (Chin. Taipei)</v>
      </c>
      <c r="B31" s="5"/>
      <c r="C31" s="51">
        <v>4601</v>
      </c>
      <c r="D31" s="52">
        <v>4298</v>
      </c>
      <c r="E31" s="53">
        <f t="shared" si="0"/>
        <v>7.0497906002791932E-2</v>
      </c>
      <c r="F31" s="72">
        <v>0.76825518831667949</v>
      </c>
      <c r="G31" s="76">
        <v>29201</v>
      </c>
      <c r="H31" s="52">
        <v>20329</v>
      </c>
      <c r="I31" s="53">
        <f t="shared" si="1"/>
        <v>0.43642087658025486</v>
      </c>
      <c r="J31" s="54">
        <v>0.92496835776816777</v>
      </c>
    </row>
    <row r="32" spans="1:10" x14ac:dyDescent="0.2">
      <c r="A32" s="24" t="str">
        <f>VLOOKUP("&lt;Zeilentitel_20&gt;",Uebersetzungen!$B$4:$E$78,Uebersetzungen!$B$2+1,FALSE)</f>
        <v xml:space="preserve">Indien </v>
      </c>
      <c r="B32" s="5"/>
      <c r="C32" s="59">
        <v>778</v>
      </c>
      <c r="D32" s="52">
        <v>853</v>
      </c>
      <c r="E32" s="53">
        <f t="shared" si="0"/>
        <v>-8.7924970691676485E-2</v>
      </c>
      <c r="F32" s="72">
        <v>0.38286526839672952</v>
      </c>
      <c r="G32" s="77">
        <v>10031</v>
      </c>
      <c r="H32" s="52">
        <v>9261</v>
      </c>
      <c r="I32" s="53">
        <f t="shared" si="1"/>
        <v>8.3144368858654616E-2</v>
      </c>
      <c r="J32" s="54">
        <v>0.59333502763835044</v>
      </c>
    </row>
    <row r="33" spans="1:10" x14ac:dyDescent="0.2">
      <c r="A33" s="24" t="str">
        <f>VLOOKUP("&lt;Zeilentitel_21&gt;",Uebersetzungen!$B$4:$E$78,Uebersetzungen!$B$2+1,FALSE)</f>
        <v>Brasilien</v>
      </c>
      <c r="B33" s="5"/>
      <c r="C33" s="51">
        <v>816</v>
      </c>
      <c r="D33" s="52">
        <v>468</v>
      </c>
      <c r="E33" s="53">
        <f t="shared" si="0"/>
        <v>0.74358974358974361</v>
      </c>
      <c r="F33" s="72">
        <v>1.7218145430286858</v>
      </c>
      <c r="G33" s="76">
        <v>22523</v>
      </c>
      <c r="H33" s="52">
        <v>16843</v>
      </c>
      <c r="I33" s="53">
        <f t="shared" si="1"/>
        <v>0.33723208454550857</v>
      </c>
      <c r="J33" s="54">
        <v>0.89795230471054177</v>
      </c>
    </row>
    <row r="34" spans="1:10" x14ac:dyDescent="0.2">
      <c r="A34" s="24" t="str">
        <f>VLOOKUP("&lt;Zeilentitel_22&gt;",Uebersetzungen!$B$4:$E$78,Uebersetzungen!$B$2+1,FALSE)</f>
        <v>Golfstaaten</v>
      </c>
      <c r="B34" s="5"/>
      <c r="C34" s="59">
        <v>5656</v>
      </c>
      <c r="D34" s="55">
        <v>4937</v>
      </c>
      <c r="E34" s="53">
        <f t="shared" si="0"/>
        <v>0.14563500101276072</v>
      </c>
      <c r="F34" s="72">
        <v>0.54417385606639712</v>
      </c>
      <c r="G34" s="77">
        <v>23361</v>
      </c>
      <c r="H34" s="55">
        <v>18724</v>
      </c>
      <c r="I34" s="53">
        <f t="shared" si="1"/>
        <v>0.24765007477034828</v>
      </c>
      <c r="J34" s="54">
        <v>0.93005502404203644</v>
      </c>
    </row>
    <row r="35" spans="1:10" x14ac:dyDescent="0.2">
      <c r="A35" s="24" t="str">
        <f>VLOOKUP("&lt;Zeilentitel_23&gt;",Uebersetzungen!$B$4:$E$78,Uebersetzungen!$B$2+1,FALSE)</f>
        <v>Übrige Herkunftsländer</v>
      </c>
      <c r="B35" s="5"/>
      <c r="C35" s="56">
        <f>C36-SUM(C13:C34)</f>
        <v>30266</v>
      </c>
      <c r="D35" s="57">
        <f>D36-SUM(D13:D34)</f>
        <v>26323</v>
      </c>
      <c r="E35" s="53">
        <f t="shared" si="0"/>
        <v>0.14979295672985593</v>
      </c>
      <c r="F35" s="73" t="s">
        <v>50</v>
      </c>
      <c r="G35" s="78">
        <f>G36-SUM(G13:G34)</f>
        <v>185198</v>
      </c>
      <c r="H35" s="57">
        <f>H36-SUM(H13:H34)</f>
        <v>168237</v>
      </c>
      <c r="I35" s="53">
        <f t="shared" si="1"/>
        <v>0.10081611060587159</v>
      </c>
      <c r="J35" s="58" t="s">
        <v>50</v>
      </c>
    </row>
    <row r="36" spans="1:10" ht="13.5" thickBot="1" x14ac:dyDescent="0.25">
      <c r="A36" s="26" t="str">
        <f>VLOOKUP("&lt;Zeilentitel_24&gt;",Uebersetzungen!$B$4:$E$78,Uebersetzungen!$B$2+1,FALSE)</f>
        <v>Graubünden</v>
      </c>
      <c r="B36" s="25"/>
      <c r="C36" s="30">
        <f>C61</f>
        <v>631809</v>
      </c>
      <c r="D36" s="19">
        <f>D61</f>
        <v>601758</v>
      </c>
      <c r="E36" s="12">
        <f t="shared" si="0"/>
        <v>4.9938679668571018E-2</v>
      </c>
      <c r="F36" s="74">
        <f>F61</f>
        <v>-1.3996739587420204E-2</v>
      </c>
      <c r="G36" s="79">
        <f t="shared" ref="G36:H36" si="2">G61</f>
        <v>4082118</v>
      </c>
      <c r="H36" s="19">
        <f t="shared" si="2"/>
        <v>4003464</v>
      </c>
      <c r="I36" s="12">
        <f t="shared" si="1"/>
        <v>1.964648614300013E-2</v>
      </c>
      <c r="J36" s="47">
        <f>J61</f>
        <v>6.4786998935296047E-2</v>
      </c>
    </row>
    <row r="37" spans="1:10" x14ac:dyDescent="0.2">
      <c r="C37" s="15"/>
      <c r="D37" s="16"/>
      <c r="E37" s="28"/>
      <c r="F37" s="27"/>
      <c r="I37" s="15"/>
      <c r="J37" s="15"/>
    </row>
    <row r="38" spans="1:10" x14ac:dyDescent="0.2">
      <c r="C38" s="15"/>
    </row>
    <row r="39" spans="1:10" ht="18" x14ac:dyDescent="0.25">
      <c r="A39" s="2" t="str">
        <f>VLOOKUP("&lt;T8Titel2&gt;",Uebersetzungen!$B$4:$E$304,Uebersetzungen!$B$2+1,FALSE)</f>
        <v>Hotel- und Kurbetriebe: Logiernächte im August 2024, nach Destinationen</v>
      </c>
      <c r="B39" s="3"/>
      <c r="C39" s="3"/>
      <c r="D39" s="3"/>
      <c r="E39" s="3"/>
      <c r="F39" s="3"/>
    </row>
    <row r="40" spans="1:10" s="123" customFormat="1" x14ac:dyDescent="0.2">
      <c r="A40" s="120" t="str">
        <f>VLOOKUP("&lt;Titelprov&gt;",Uebersetzungen!$B$4:$E$304,Uebersetzungen!$B$2+1,FALSE)</f>
        <v>definitive Ergebnisse</v>
      </c>
      <c r="B40" s="121"/>
      <c r="C40" s="122"/>
      <c r="D40" s="122"/>
      <c r="E40" s="122"/>
      <c r="F40" s="122"/>
      <c r="G40" s="122"/>
    </row>
    <row r="41" spans="1:10" ht="13.5" thickBot="1" x14ac:dyDescent="0.25"/>
    <row r="42" spans="1:10" ht="51" x14ac:dyDescent="0.2">
      <c r="A42" s="8"/>
      <c r="B42" s="9"/>
      <c r="C42" s="20" t="str">
        <f>VLOOKUP("&lt;T8SpaltenTitel_1&gt;",Uebersetzungen!$B$4:$E$304,Uebersetzungen!$B$2+1,FALSE)</f>
        <v>August 2024</v>
      </c>
      <c r="D42" s="21" t="str">
        <f>VLOOKUP("&lt;T8SpaltenTitel_2&gt;",Uebersetzungen!$B$4:$E$304,Uebersetzungen!$B$2+1,FALSE)</f>
        <v>August 2023</v>
      </c>
      <c r="E42" s="22" t="str">
        <f>VLOOKUP("&lt;SpaltenTitel_3&gt;",Uebersetzungen!$B$4:$E$304,Uebersetzungen!$B$2+1,FALSE)</f>
        <v>Veränderung 24/23 in %</v>
      </c>
      <c r="F42" s="22" t="str">
        <f>VLOOKUP("&lt;SpaltenTitel_4&gt;",Uebersetzungen!$B$4:$E$304,Uebersetzungen!$B$2+1,FALSE)</f>
        <v>Veränderung zum
5-Jahresmittel 
in %</v>
      </c>
      <c r="G42" s="75" t="str">
        <f>VLOOKUP("&lt;T8SpaltenTitel_5&gt;",Uebersetzungen!$B$4:$E$304,Uebersetzungen!$B$2+1,FALSE)</f>
        <v>Januar-August 24</v>
      </c>
      <c r="H42" s="22" t="str">
        <f>VLOOKUP("&lt;T8SpaltenTitel_6&gt;",Uebersetzungen!$B$4:$E$304,Uebersetzungen!$B$2+1,FALSE)</f>
        <v>Januar-August 23</v>
      </c>
      <c r="I42" s="22" t="str">
        <f>VLOOKUP("&lt;SpaltenTitel_7&gt;",Uebersetzungen!$B$4:$E$304,Uebersetzungen!$B$2+1,FALSE)</f>
        <v>Veränderung 24/23 in %</v>
      </c>
      <c r="J42" s="23" t="str">
        <f>VLOOKUP("&lt;SpaltenTitel_8&gt;",Uebersetzungen!$B$4:$E$304,Uebersetzungen!$B$2+1,FALSE)</f>
        <v>Veränderung zum
5-Jahresmittel 
in %</v>
      </c>
    </row>
    <row r="43" spans="1:10" x14ac:dyDescent="0.2">
      <c r="A43" s="24" t="str">
        <f>VLOOKUP("&lt;Zeilentitel_25&gt;",Uebersetzungen!$B$4:$E$78,Uebersetzungen!$B$2+1,FALSE)</f>
        <v>Arosa</v>
      </c>
      <c r="B43" s="5"/>
      <c r="C43" s="13">
        <v>44621</v>
      </c>
      <c r="D43" s="17">
        <v>34554</v>
      </c>
      <c r="E43" s="10">
        <f>C43/D43-1</f>
        <v>0.29134108930948655</v>
      </c>
      <c r="F43" s="80">
        <v>6.5403110659045138E-2</v>
      </c>
      <c r="G43" s="83">
        <v>335423</v>
      </c>
      <c r="H43" s="17">
        <v>311270</v>
      </c>
      <c r="I43" s="10">
        <f>G43/H43-1</f>
        <v>7.7595013975005678E-2</v>
      </c>
      <c r="J43" s="44">
        <v>0.12521805056089308</v>
      </c>
    </row>
    <row r="44" spans="1:10" x14ac:dyDescent="0.2">
      <c r="A44" s="24" t="str">
        <f>VLOOKUP("&lt;Zeilentitel_26&gt;",Uebersetzungen!$B$4:$E$78,Uebersetzungen!$B$2+1,FALSE)</f>
        <v>Bergün Filisur</v>
      </c>
      <c r="B44" s="5"/>
      <c r="C44" s="13">
        <v>7642</v>
      </c>
      <c r="D44" s="17">
        <v>7314</v>
      </c>
      <c r="E44" s="10">
        <f t="shared" ref="E44:E61" si="3">C44/D44-1</f>
        <v>4.4845501777413199E-2</v>
      </c>
      <c r="F44" s="80">
        <v>-5.9469305370944747E-2</v>
      </c>
      <c r="G44" s="83">
        <v>43272</v>
      </c>
      <c r="H44" s="17">
        <v>47750</v>
      </c>
      <c r="I44" s="10">
        <f t="shared" ref="I44:I61" si="4">G44/H44-1</f>
        <v>-9.3780104712041901E-2</v>
      </c>
      <c r="J44" s="44">
        <v>-5.6942604086756332E-2</v>
      </c>
    </row>
    <row r="45" spans="1:10" x14ac:dyDescent="0.2">
      <c r="A45" s="24" t="str">
        <f>VLOOKUP("&lt;Zeilentitel_27&gt;",Uebersetzungen!$B$4:$E$78,Uebersetzungen!$B$2+1,FALSE)</f>
        <v>Bregaglia Engadin</v>
      </c>
      <c r="B45" s="5"/>
      <c r="C45" s="13">
        <v>10753</v>
      </c>
      <c r="D45" s="17">
        <v>9498</v>
      </c>
      <c r="E45" s="10">
        <f t="shared" si="3"/>
        <v>0.13213308064855767</v>
      </c>
      <c r="F45" s="80">
        <v>0.15365633851171578</v>
      </c>
      <c r="G45" s="83">
        <v>40966</v>
      </c>
      <c r="H45" s="17">
        <v>38252</v>
      </c>
      <c r="I45" s="10">
        <f t="shared" si="4"/>
        <v>7.095053853393285E-2</v>
      </c>
      <c r="J45" s="44">
        <v>3.6846181492374175E-2</v>
      </c>
    </row>
    <row r="46" spans="1:10" x14ac:dyDescent="0.2">
      <c r="A46" s="24" t="str">
        <f>VLOOKUP("&lt;Zeilentitel_28&gt;",Uebersetzungen!$B$4:$E$78,Uebersetzungen!$B$2+1,FALSE)</f>
        <v>Bündner Herrschaft</v>
      </c>
      <c r="B46" s="5"/>
      <c r="C46" s="13">
        <v>6538</v>
      </c>
      <c r="D46" s="17">
        <v>5800</v>
      </c>
      <c r="E46" s="10">
        <f t="shared" si="3"/>
        <v>0.12724137931034485</v>
      </c>
      <c r="F46" s="80">
        <v>0.19712894129710334</v>
      </c>
      <c r="G46" s="83">
        <v>39779</v>
      </c>
      <c r="H46" s="17">
        <v>36308</v>
      </c>
      <c r="I46" s="10">
        <f t="shared" si="4"/>
        <v>9.5598766112151567E-2</v>
      </c>
      <c r="J46" s="44">
        <v>0.29442582408642748</v>
      </c>
    </row>
    <row r="47" spans="1:10" x14ac:dyDescent="0.2">
      <c r="A47" s="24" t="str">
        <f>VLOOKUP("&lt;Zeilentitel_29&gt;",Uebersetzungen!$B$4:$E$78,Uebersetzungen!$B$2+1,FALSE)</f>
        <v>Chur</v>
      </c>
      <c r="B47" s="5"/>
      <c r="C47" s="13">
        <v>24371</v>
      </c>
      <c r="D47" s="17">
        <v>22827</v>
      </c>
      <c r="E47" s="10">
        <f t="shared" si="3"/>
        <v>6.7639199193936905E-2</v>
      </c>
      <c r="F47" s="80">
        <v>0.16646723783085249</v>
      </c>
      <c r="G47" s="83">
        <v>169227</v>
      </c>
      <c r="H47" s="17">
        <v>152662</v>
      </c>
      <c r="I47" s="10">
        <f t="shared" si="4"/>
        <v>0.10850768364098462</v>
      </c>
      <c r="J47" s="44">
        <v>0.38639517755643427</v>
      </c>
    </row>
    <row r="48" spans="1:10" x14ac:dyDescent="0.2">
      <c r="A48" s="24" t="str">
        <f>VLOOKUP("&lt;Zeilentitel_30&gt;",Uebersetzungen!$B$4:$E$78,Uebersetzungen!$B$2+1,FALSE)</f>
        <v>Davos Klosters</v>
      </c>
      <c r="B48" s="5"/>
      <c r="C48" s="13">
        <v>110221</v>
      </c>
      <c r="D48" s="17">
        <v>103894</v>
      </c>
      <c r="E48" s="10">
        <f t="shared" si="3"/>
        <v>6.0898608196815918E-2</v>
      </c>
      <c r="F48" s="80">
        <v>3.2070489531443203E-2</v>
      </c>
      <c r="G48" s="83">
        <v>711734</v>
      </c>
      <c r="H48" s="17">
        <v>700885</v>
      </c>
      <c r="I48" s="10">
        <f t="shared" si="4"/>
        <v>1.5479001548042826E-2</v>
      </c>
      <c r="J48" s="44">
        <v>4.6857312971997134E-2</v>
      </c>
    </row>
    <row r="49" spans="1:10" x14ac:dyDescent="0.2">
      <c r="A49" s="24" t="str">
        <f>VLOOKUP("&lt;Zeilentitel_31&gt;",Uebersetzungen!$B$4:$E$78,Uebersetzungen!$B$2+1,FALSE)</f>
        <v>Disentis Sedrun</v>
      </c>
      <c r="B49" s="5"/>
      <c r="C49" s="13">
        <v>15661</v>
      </c>
      <c r="D49" s="17">
        <v>13917</v>
      </c>
      <c r="E49" s="10">
        <f t="shared" si="3"/>
        <v>0.1253143637278149</v>
      </c>
      <c r="F49" s="80">
        <v>-9.0358015160910687E-3</v>
      </c>
      <c r="G49" s="83">
        <v>105575</v>
      </c>
      <c r="H49" s="17">
        <v>108174</v>
      </c>
      <c r="I49" s="10">
        <f t="shared" si="4"/>
        <v>-2.4026106088339105E-2</v>
      </c>
      <c r="J49" s="44">
        <v>7.6953051681505569E-2</v>
      </c>
    </row>
    <row r="50" spans="1:10" x14ac:dyDescent="0.2">
      <c r="A50" s="24" t="str">
        <f>VLOOKUP("&lt;Zeilentitel_32&gt;",Uebersetzungen!$B$4:$E$78,Uebersetzungen!$B$2+1,FALSE)</f>
        <v>Scuol Samnaun Val Müstair</v>
      </c>
      <c r="B50" s="5"/>
      <c r="C50" s="13">
        <v>64595</v>
      </c>
      <c r="D50" s="17">
        <v>60329</v>
      </c>
      <c r="E50" s="10">
        <f t="shared" si="3"/>
        <v>7.0712261101625984E-2</v>
      </c>
      <c r="F50" s="80">
        <v>-6.1400220282880502E-2</v>
      </c>
      <c r="G50" s="83">
        <v>396592</v>
      </c>
      <c r="H50" s="17">
        <v>386274</v>
      </c>
      <c r="I50" s="10">
        <f t="shared" si="4"/>
        <v>2.6711608857960867E-2</v>
      </c>
      <c r="J50" s="44">
        <v>1.800775508590613E-2</v>
      </c>
    </row>
    <row r="51" spans="1:10" x14ac:dyDescent="0.2">
      <c r="A51" s="24" t="str">
        <f>VLOOKUP("&lt;Zeilentitel_33&gt;",Uebersetzungen!$B$4:$E$78,Uebersetzungen!$B$2+1,FALSE)</f>
        <v>Engadin St. Moritz</v>
      </c>
      <c r="B51" s="5"/>
      <c r="C51" s="13">
        <v>200600</v>
      </c>
      <c r="D51" s="17">
        <v>208380</v>
      </c>
      <c r="E51" s="10">
        <f t="shared" si="3"/>
        <v>-3.7335636817352857E-2</v>
      </c>
      <c r="F51" s="80">
        <v>-6.2108432608329767E-2</v>
      </c>
      <c r="G51" s="83">
        <v>1242640</v>
      </c>
      <c r="H51" s="17">
        <v>1235437</v>
      </c>
      <c r="I51" s="10">
        <f t="shared" si="4"/>
        <v>5.8303256256693192E-3</v>
      </c>
      <c r="J51" s="44">
        <v>8.2930304967619328E-2</v>
      </c>
    </row>
    <row r="52" spans="1:10" x14ac:dyDescent="0.2">
      <c r="A52" s="24" t="str">
        <f>VLOOKUP("&lt;Zeilentitel_34&gt;",Uebersetzungen!$B$4:$E$78,Uebersetzungen!$B$2+1,FALSE)</f>
        <v>Flims Laax</v>
      </c>
      <c r="B52" s="5"/>
      <c r="C52" s="13">
        <v>48334</v>
      </c>
      <c r="D52" s="17">
        <v>42579</v>
      </c>
      <c r="E52" s="10">
        <f t="shared" si="3"/>
        <v>0.13516052514150179</v>
      </c>
      <c r="F52" s="80">
        <v>-6.3657497094149584E-2</v>
      </c>
      <c r="G52" s="83">
        <v>361631</v>
      </c>
      <c r="H52" s="17">
        <v>369490</v>
      </c>
      <c r="I52" s="10">
        <f t="shared" si="4"/>
        <v>-2.1269858453544122E-2</v>
      </c>
      <c r="J52" s="44">
        <v>-4.2101030606698564E-2</v>
      </c>
    </row>
    <row r="53" spans="1:10" x14ac:dyDescent="0.2">
      <c r="A53" s="24" t="str">
        <f>VLOOKUP("&lt;Zeilentitel_35&gt;",Uebersetzungen!$B$4:$E$78,Uebersetzungen!$B$2+1,FALSE)</f>
        <v>Lenzerheide</v>
      </c>
      <c r="B53" s="5"/>
      <c r="C53" s="13">
        <v>34182</v>
      </c>
      <c r="D53" s="17">
        <v>29590</v>
      </c>
      <c r="E53" s="10">
        <f t="shared" si="3"/>
        <v>0.15518756336600203</v>
      </c>
      <c r="F53" s="80">
        <v>1.6232607920085629E-2</v>
      </c>
      <c r="G53" s="83">
        <v>240474</v>
      </c>
      <c r="H53" s="17">
        <v>230383</v>
      </c>
      <c r="I53" s="10">
        <f t="shared" si="4"/>
        <v>4.3800974898321465E-2</v>
      </c>
      <c r="J53" s="44">
        <v>1.6558377050774231E-2</v>
      </c>
    </row>
    <row r="54" spans="1:10" x14ac:dyDescent="0.2">
      <c r="A54" s="24" t="str">
        <f>VLOOKUP("&lt;Zeilentitel_36&gt;",Uebersetzungen!$B$4:$E$78,Uebersetzungen!$B$2+1,FALSE)</f>
        <v>Prättigau</v>
      </c>
      <c r="B54" s="5"/>
      <c r="C54" s="13">
        <v>6808</v>
      </c>
      <c r="D54" s="17">
        <v>6640</v>
      </c>
      <c r="E54" s="10">
        <f t="shared" si="3"/>
        <v>2.5301204819277112E-2</v>
      </c>
      <c r="F54" s="80">
        <v>5.2013474673177518E-2</v>
      </c>
      <c r="G54" s="83">
        <v>60065</v>
      </c>
      <c r="H54" s="17">
        <v>62458</v>
      </c>
      <c r="I54" s="10">
        <f t="shared" si="4"/>
        <v>-3.8313746837875029E-2</v>
      </c>
      <c r="J54" s="44">
        <v>0.15975300823305871</v>
      </c>
    </row>
    <row r="55" spans="1:10" x14ac:dyDescent="0.2">
      <c r="A55" s="24" t="str">
        <f>VLOOKUP("&lt;Zeilentitel_37&gt;",Uebersetzungen!$B$4:$E$78,Uebersetzungen!$B$2+1,FALSE)</f>
        <v>San Bernardino, Mesolcina/Calanca</v>
      </c>
      <c r="B55" s="5"/>
      <c r="C55" s="13">
        <v>4203</v>
      </c>
      <c r="D55" s="17">
        <v>3911</v>
      </c>
      <c r="E55" s="10">
        <f t="shared" si="3"/>
        <v>7.4661211966249086E-2</v>
      </c>
      <c r="F55" s="80">
        <v>9.0611863615132959E-2</v>
      </c>
      <c r="G55" s="83">
        <v>18653</v>
      </c>
      <c r="H55" s="17">
        <v>18825</v>
      </c>
      <c r="I55" s="10">
        <f t="shared" si="4"/>
        <v>-9.1367861885790491E-3</v>
      </c>
      <c r="J55" s="44">
        <v>4.8121551307553023E-2</v>
      </c>
    </row>
    <row r="56" spans="1:10" x14ac:dyDescent="0.2">
      <c r="A56" s="24" t="str">
        <f>VLOOKUP("&lt;Zeilentitel_38&gt;",Uebersetzungen!$B$4:$E$78,Uebersetzungen!$B$2+1,FALSE)</f>
        <v>Val Surses</v>
      </c>
      <c r="B56" s="5"/>
      <c r="C56" s="13">
        <v>10615</v>
      </c>
      <c r="D56" s="17">
        <v>10124</v>
      </c>
      <c r="E56" s="10">
        <f t="shared" si="3"/>
        <v>4.8498617147372469E-2</v>
      </c>
      <c r="F56" s="80">
        <v>0.12022203930011188</v>
      </c>
      <c r="G56" s="83">
        <v>74739</v>
      </c>
      <c r="H56" s="17">
        <v>65995</v>
      </c>
      <c r="I56" s="10">
        <f t="shared" si="4"/>
        <v>0.13249488597621029</v>
      </c>
      <c r="J56" s="44">
        <v>0.27648999836038679</v>
      </c>
    </row>
    <row r="57" spans="1:10" x14ac:dyDescent="0.2">
      <c r="A57" s="24" t="str">
        <f>VLOOKUP("&lt;Zeilentitel_39&gt;",Uebersetzungen!$B$4:$E$78,Uebersetzungen!$B$2+1,FALSE)</f>
        <v>Surselva</v>
      </c>
      <c r="B57" s="5"/>
      <c r="C57" s="13">
        <v>11028</v>
      </c>
      <c r="D57" s="17">
        <v>10369</v>
      </c>
      <c r="E57" s="10">
        <f t="shared" si="3"/>
        <v>6.3554826887838756E-2</v>
      </c>
      <c r="F57" s="80">
        <v>-7.7710500786137282E-2</v>
      </c>
      <c r="G57" s="83">
        <v>75331</v>
      </c>
      <c r="H57" s="17">
        <v>74121</v>
      </c>
      <c r="I57" s="10">
        <f t="shared" si="4"/>
        <v>1.6324658328948694E-2</v>
      </c>
      <c r="J57" s="44">
        <v>-5.3649675383409257E-2</v>
      </c>
    </row>
    <row r="58" spans="1:10" x14ac:dyDescent="0.2">
      <c r="A58" s="24" t="str">
        <f>VLOOKUP("&lt;Zeilentitel_40&gt;",Uebersetzungen!$B$4:$E$78,Uebersetzungen!$B$2+1,FALSE)</f>
        <v>Valposchiavo</v>
      </c>
      <c r="B58" s="5"/>
      <c r="C58" s="13">
        <v>12581</v>
      </c>
      <c r="D58" s="17">
        <v>12994</v>
      </c>
      <c r="E58" s="10">
        <f t="shared" si="3"/>
        <v>-3.1783900261659226E-2</v>
      </c>
      <c r="F58" s="80">
        <v>9.4356275173708148E-3</v>
      </c>
      <c r="G58" s="83">
        <v>52197</v>
      </c>
      <c r="H58" s="17">
        <v>52518</v>
      </c>
      <c r="I58" s="10">
        <f t="shared" si="4"/>
        <v>-6.1121901062493045E-3</v>
      </c>
      <c r="J58" s="44">
        <v>0.10731378239397182</v>
      </c>
    </row>
    <row r="59" spans="1:10" x14ac:dyDescent="0.2">
      <c r="A59" s="24" t="str">
        <f>VLOOKUP("&lt;Zeilentitel_41&gt;",Uebersetzungen!$B$4:$E$78,Uebersetzungen!$B$2+1,FALSE)</f>
        <v>Vals</v>
      </c>
      <c r="B59" s="5"/>
      <c r="C59" s="13">
        <v>6655</v>
      </c>
      <c r="D59" s="17">
        <v>6467</v>
      </c>
      <c r="E59" s="10">
        <f t="shared" si="3"/>
        <v>2.9070666460491834E-2</v>
      </c>
      <c r="F59" s="80">
        <v>-0.11368297685320838</v>
      </c>
      <c r="G59" s="83">
        <v>45356</v>
      </c>
      <c r="H59" s="17">
        <v>45694</v>
      </c>
      <c r="I59" s="10">
        <f t="shared" si="4"/>
        <v>-7.3970324331421589E-3</v>
      </c>
      <c r="J59" s="44">
        <v>-5.6062668314956654E-2</v>
      </c>
    </row>
    <row r="60" spans="1:10" x14ac:dyDescent="0.2">
      <c r="A60" s="24" t="str">
        <f>VLOOKUP("&lt;Zeilentitel_42&gt;",Uebersetzungen!$B$4:$E$78,Uebersetzungen!$B$2+1,FALSE)</f>
        <v>Viamala</v>
      </c>
      <c r="B60" s="7"/>
      <c r="C60" s="14">
        <v>12401</v>
      </c>
      <c r="D60" s="18">
        <v>12571</v>
      </c>
      <c r="E60" s="11">
        <f t="shared" si="3"/>
        <v>-1.3523188290509913E-2</v>
      </c>
      <c r="F60" s="81">
        <v>-3.1550175712612316E-2</v>
      </c>
      <c r="G60" s="84">
        <v>68464</v>
      </c>
      <c r="H60" s="18">
        <v>66968</v>
      </c>
      <c r="I60" s="11">
        <f t="shared" si="4"/>
        <v>2.233902759526929E-2</v>
      </c>
      <c r="J60" s="46">
        <v>4.5526458856371521E-2</v>
      </c>
    </row>
    <row r="61" spans="1:10" ht="13.5" thickBot="1" x14ac:dyDescent="0.25">
      <c r="A61" s="26" t="str">
        <f>VLOOKUP("&lt;Zeilentitel_43&gt;",Uebersetzungen!$B$4:$E$78,Uebersetzungen!$B$2+1,FALSE)</f>
        <v>Graubünden</v>
      </c>
      <c r="B61" s="6"/>
      <c r="C61" s="30">
        <v>631809</v>
      </c>
      <c r="D61" s="40">
        <v>601758</v>
      </c>
      <c r="E61" s="65">
        <f t="shared" si="3"/>
        <v>4.9938679668571018E-2</v>
      </c>
      <c r="F61" s="82">
        <v>-1.3996739587420204E-2</v>
      </c>
      <c r="G61" s="79">
        <v>4082118</v>
      </c>
      <c r="H61" s="40">
        <v>4003464</v>
      </c>
      <c r="I61" s="65">
        <f t="shared" si="4"/>
        <v>1.964648614300013E-2</v>
      </c>
      <c r="J61" s="66">
        <v>6.4786998935296047E-2</v>
      </c>
    </row>
    <row r="63" spans="1:10" x14ac:dyDescent="0.2">
      <c r="A63" s="4" t="str">
        <f>VLOOKUP("&lt;Legende_1&gt;",Uebersetzungen!$B$4:$E$80,Uebersetzungen!$B$2+1,FALSE)</f>
        <v>Aktuelle Zuordnung der politischen Gemeinden zu Destinationen:</v>
      </c>
      <c r="E63" s="67" t="s">
        <v>214</v>
      </c>
      <c r="F63" s="49"/>
    </row>
    <row r="65" spans="1:10" ht="10.5" customHeight="1" x14ac:dyDescent="0.2"/>
    <row r="66" spans="1:10" ht="18" x14ac:dyDescent="0.25">
      <c r="A66" s="2" t="str">
        <f>VLOOKUP("&lt;T8Titel3&gt;",Uebersetzungen!$B$4:$E$304,Uebersetzungen!$B$2+1,FALSE)</f>
        <v>Hotel- und Kurbetriebe: Logiernächte im August 2024, nach Schweizer Tourismusregionen</v>
      </c>
      <c r="B66" s="3"/>
      <c r="C66" s="3"/>
      <c r="D66" s="3"/>
      <c r="E66" s="3"/>
      <c r="F66" s="3"/>
    </row>
    <row r="67" spans="1:10" s="123" customFormat="1" x14ac:dyDescent="0.2">
      <c r="A67" s="120" t="str">
        <f>VLOOKUP("&lt;Titelprov&gt;",Uebersetzungen!$B$4:$E$304,Uebersetzungen!$B$2+1,FALSE)</f>
        <v>definitive Ergebnisse</v>
      </c>
      <c r="B67" s="121"/>
      <c r="C67" s="122"/>
      <c r="D67" s="122"/>
      <c r="E67" s="122"/>
      <c r="F67" s="122"/>
      <c r="G67" s="122"/>
    </row>
    <row r="68" spans="1:10" ht="18.75" customHeight="1" thickBot="1" x14ac:dyDescent="0.3">
      <c r="A68" s="50"/>
    </row>
    <row r="69" spans="1:10" ht="51" x14ac:dyDescent="0.2">
      <c r="A69" s="8"/>
      <c r="B69" s="9"/>
      <c r="C69" s="20" t="str">
        <f>VLOOKUP("&lt;T8SpaltenTitel_1&gt;",Uebersetzungen!$B$4:$E$304,Uebersetzungen!$B$2+1,FALSE)</f>
        <v>August 2024</v>
      </c>
      <c r="D69" s="21" t="str">
        <f>VLOOKUP("&lt;T8SpaltenTitel_2&gt;",Uebersetzungen!$B$4:$E$304,Uebersetzungen!$B$2+1,FALSE)</f>
        <v>August 2023</v>
      </c>
      <c r="E69" s="22" t="str">
        <f>VLOOKUP("&lt;SpaltenTitel_3&gt;",Uebersetzungen!$B$4:$E$304,Uebersetzungen!$B$2+1,FALSE)</f>
        <v>Veränderung 24/23 in %</v>
      </c>
      <c r="F69" s="22" t="str">
        <f>VLOOKUP("&lt;SpaltenTitel_4&gt;",Uebersetzungen!$B$4:$E$304,Uebersetzungen!$B$2+1,FALSE)</f>
        <v>Veränderung zum
5-Jahresmittel 
in %</v>
      </c>
      <c r="G69" s="75" t="str">
        <f>VLOOKUP("&lt;T8SpaltenTitel_5&gt;",Uebersetzungen!$B$4:$E$304,Uebersetzungen!$B$2+1,FALSE)</f>
        <v>Januar-August 24</v>
      </c>
      <c r="H69" s="22" t="str">
        <f>VLOOKUP("&lt;T8SpaltenTitel_6&gt;",Uebersetzungen!$B$4:$E$304,Uebersetzungen!$B$2+1,FALSE)</f>
        <v>Januar-August 23</v>
      </c>
      <c r="I69" s="22" t="str">
        <f>VLOOKUP("&lt;SpaltenTitel_7&gt;",Uebersetzungen!$B$4:$E$304,Uebersetzungen!$B$2+1,FALSE)</f>
        <v>Veränderung 24/23 in %</v>
      </c>
      <c r="J69" s="23" t="str">
        <f>VLOOKUP("&lt;SpaltenTitel_8&gt;",Uebersetzungen!$B$4:$E$304,Uebersetzungen!$B$2+1,FALSE)</f>
        <v>Veränderung zum
5-Jahresmittel 
in %</v>
      </c>
    </row>
    <row r="70" spans="1:10" x14ac:dyDescent="0.2">
      <c r="A70" s="24" t="str">
        <f>VLOOKUP("&lt;Zeilentitel_44&gt;",Uebersetzungen!$B$4:$E$78,Uebersetzungen!$B$2+1,FALSE)</f>
        <v>Aargau und Solothurn Region</v>
      </c>
      <c r="B70" s="5"/>
      <c r="C70" s="13">
        <v>119794</v>
      </c>
      <c r="D70" s="17">
        <v>122751</v>
      </c>
      <c r="E70" s="10">
        <f>C70/D70-1</f>
        <v>-2.4089416786828632E-2</v>
      </c>
      <c r="F70" s="80">
        <v>0.16567867693708904</v>
      </c>
      <c r="G70" s="83">
        <v>813451</v>
      </c>
      <c r="H70" s="17">
        <v>771215</v>
      </c>
      <c r="I70" s="10">
        <f>G70/H70-1</f>
        <v>5.4765532309407838E-2</v>
      </c>
      <c r="J70" s="44">
        <v>0.31906409724204132</v>
      </c>
    </row>
    <row r="71" spans="1:10" x14ac:dyDescent="0.2">
      <c r="A71" s="24" t="str">
        <f>VLOOKUP("&lt;Zeilentitel_45&gt;",Uebersetzungen!$B$4:$E$78,Uebersetzungen!$B$2+1,FALSE)</f>
        <v>Basel Region</v>
      </c>
      <c r="B71" s="5"/>
      <c r="C71" s="13">
        <v>171650</v>
      </c>
      <c r="D71" s="17">
        <v>157974</v>
      </c>
      <c r="E71" s="10">
        <f t="shared" ref="E71:E83" si="5">C71/D71-1</f>
        <v>8.6571207920290716E-2</v>
      </c>
      <c r="F71" s="80">
        <v>0.26399302502654654</v>
      </c>
      <c r="G71" s="83">
        <v>1157401</v>
      </c>
      <c r="H71" s="17">
        <v>1119214</v>
      </c>
      <c r="I71" s="10">
        <f t="shared" ref="I71:I83" si="6">G71/H71-1</f>
        <v>3.4119480278123726E-2</v>
      </c>
      <c r="J71" s="44">
        <v>0.36773869524884328</v>
      </c>
    </row>
    <row r="72" spans="1:10" x14ac:dyDescent="0.2">
      <c r="A72" s="24" t="str">
        <f>VLOOKUP("&lt;Zeilentitel_46&gt;",Uebersetzungen!$B$4:$E$78,Uebersetzungen!$B$2+1,FALSE)</f>
        <v>Bern Region</v>
      </c>
      <c r="B72" s="5"/>
      <c r="C72" s="13">
        <v>778130</v>
      </c>
      <c r="D72" s="17">
        <v>745352</v>
      </c>
      <c r="E72" s="10">
        <f t="shared" si="5"/>
        <v>4.3976537260247417E-2</v>
      </c>
      <c r="F72" s="80">
        <v>0.19938530212369798</v>
      </c>
      <c r="G72" s="83">
        <v>4381050</v>
      </c>
      <c r="H72" s="17">
        <v>4213016</v>
      </c>
      <c r="I72" s="10">
        <f t="shared" si="6"/>
        <v>3.9884491300294034E-2</v>
      </c>
      <c r="J72" s="44">
        <v>0.31046017655385261</v>
      </c>
    </row>
    <row r="73" spans="1:10" x14ac:dyDescent="0.2">
      <c r="A73" s="24" t="str">
        <f>VLOOKUP("&lt;Zeilentitel_47&gt;",Uebersetzungen!$B$4:$E$78,Uebersetzungen!$B$2+1,FALSE)</f>
        <v>Fribourg Region</v>
      </c>
      <c r="B73" s="5"/>
      <c r="C73" s="13">
        <v>54509</v>
      </c>
      <c r="D73" s="17">
        <v>59415</v>
      </c>
      <c r="E73" s="10">
        <f t="shared" si="5"/>
        <v>-8.2571741142809074E-2</v>
      </c>
      <c r="F73" s="80">
        <v>-2.4814894792898334E-3</v>
      </c>
      <c r="G73" s="83">
        <v>329768</v>
      </c>
      <c r="H73" s="17">
        <v>334598</v>
      </c>
      <c r="I73" s="10">
        <f t="shared" si="6"/>
        <v>-1.443523272703362E-2</v>
      </c>
      <c r="J73" s="44">
        <v>0.13477852121739331</v>
      </c>
    </row>
    <row r="74" spans="1:10" x14ac:dyDescent="0.2">
      <c r="A74" s="24" t="str">
        <f>VLOOKUP("&lt;Zeilentitel_48&gt;",Uebersetzungen!$B$4:$E$78,Uebersetzungen!$B$2+1,FALSE)</f>
        <v>Genf</v>
      </c>
      <c r="B74" s="5"/>
      <c r="C74" s="13">
        <v>363591</v>
      </c>
      <c r="D74" s="17">
        <v>352265</v>
      </c>
      <c r="E74" s="10">
        <f t="shared" si="5"/>
        <v>3.2151931074617224E-2</v>
      </c>
      <c r="F74" s="80">
        <v>0.41595094987113579</v>
      </c>
      <c r="G74" s="83">
        <v>2538735</v>
      </c>
      <c r="H74" s="17">
        <v>2377962</v>
      </c>
      <c r="I74" s="10">
        <f t="shared" si="6"/>
        <v>6.7609574921718707E-2</v>
      </c>
      <c r="J74" s="44">
        <v>0.57612490817912332</v>
      </c>
    </row>
    <row r="75" spans="1:10" x14ac:dyDescent="0.2">
      <c r="A75" s="110" t="str">
        <f>VLOOKUP("&lt;Zeilentitel_49&gt;",Uebersetzungen!$B$4:$E$78,Uebersetzungen!$B$2+1,FALSE)</f>
        <v>Graubünden</v>
      </c>
      <c r="B75" s="60"/>
      <c r="C75" s="61">
        <v>631809</v>
      </c>
      <c r="D75" s="62">
        <v>601758</v>
      </c>
      <c r="E75" s="63">
        <f t="shared" si="5"/>
        <v>4.9938679668571018E-2</v>
      </c>
      <c r="F75" s="85">
        <v>-1.3996739587420204E-2</v>
      </c>
      <c r="G75" s="87">
        <v>4082118</v>
      </c>
      <c r="H75" s="62">
        <v>4003464</v>
      </c>
      <c r="I75" s="63">
        <f t="shared" si="6"/>
        <v>1.964648614300013E-2</v>
      </c>
      <c r="J75" s="64">
        <v>6.4786998935296047E-2</v>
      </c>
    </row>
    <row r="76" spans="1:10" x14ac:dyDescent="0.2">
      <c r="A76" s="24" t="str">
        <f>VLOOKUP("&lt;Zeilentitel_50&gt;",Uebersetzungen!$B$4:$E$78,Uebersetzungen!$B$2+1,FALSE)</f>
        <v>Jura &amp; Drei-Seen-Land</v>
      </c>
      <c r="B76" s="5"/>
      <c r="C76" s="13">
        <v>72704</v>
      </c>
      <c r="D76" s="17">
        <v>65210</v>
      </c>
      <c r="E76" s="10">
        <f t="shared" si="5"/>
        <v>0.11492102438276341</v>
      </c>
      <c r="F76" s="80">
        <v>8.1003925300344948E-2</v>
      </c>
      <c r="G76" s="83">
        <v>421400</v>
      </c>
      <c r="H76" s="17">
        <v>408190</v>
      </c>
      <c r="I76" s="10">
        <f t="shared" si="6"/>
        <v>3.2362380264092661E-2</v>
      </c>
      <c r="J76" s="44">
        <v>0.13954104673362222</v>
      </c>
    </row>
    <row r="77" spans="1:10" x14ac:dyDescent="0.2">
      <c r="A77" s="24" t="str">
        <f>VLOOKUP("&lt;Zeilentitel_51&gt;",Uebersetzungen!$B$4:$E$78,Uebersetzungen!$B$2+1,FALSE)</f>
        <v>Luzern / Vierwaldstättersee</v>
      </c>
      <c r="B77" s="5"/>
      <c r="C77" s="13">
        <v>480361</v>
      </c>
      <c r="D77" s="17">
        <v>458004</v>
      </c>
      <c r="E77" s="10">
        <f t="shared" si="5"/>
        <v>4.8813984157343615E-2</v>
      </c>
      <c r="F77" s="80">
        <v>0.16280325146572561</v>
      </c>
      <c r="G77" s="83">
        <v>2819919</v>
      </c>
      <c r="H77" s="17">
        <v>2724100</v>
      </c>
      <c r="I77" s="10">
        <f t="shared" si="6"/>
        <v>3.5174553063397118E-2</v>
      </c>
      <c r="J77" s="44">
        <v>0.27355098252312682</v>
      </c>
    </row>
    <row r="78" spans="1:10" x14ac:dyDescent="0.2">
      <c r="A78" s="24" t="str">
        <f>VLOOKUP("&lt;Zeilentitel_52&gt;",Uebersetzungen!$B$4:$E$78,Uebersetzungen!$B$2+1,FALSE)</f>
        <v>Ostschweiz</v>
      </c>
      <c r="B78" s="5"/>
      <c r="C78" s="13">
        <v>247871</v>
      </c>
      <c r="D78" s="17">
        <v>232830</v>
      </c>
      <c r="E78" s="10">
        <f t="shared" si="5"/>
        <v>6.4600781686208864E-2</v>
      </c>
      <c r="F78" s="80">
        <v>8.0947542399120831E-2</v>
      </c>
      <c r="G78" s="83">
        <v>1394301</v>
      </c>
      <c r="H78" s="17">
        <v>1385499</v>
      </c>
      <c r="I78" s="10">
        <f t="shared" si="6"/>
        <v>6.3529457617796936E-3</v>
      </c>
      <c r="J78" s="44">
        <v>0.12348024487548992</v>
      </c>
    </row>
    <row r="79" spans="1:10" x14ac:dyDescent="0.2">
      <c r="A79" s="24" t="str">
        <f>VLOOKUP("&lt;Zeilentitel_53&gt;",Uebersetzungen!$B$4:$E$78,Uebersetzungen!$B$2+1,FALSE)</f>
        <v>Tessin</v>
      </c>
      <c r="B79" s="5"/>
      <c r="C79" s="13">
        <v>339868</v>
      </c>
      <c r="D79" s="17">
        <v>341846</v>
      </c>
      <c r="E79" s="10">
        <f t="shared" si="5"/>
        <v>-5.7862312269267857E-3</v>
      </c>
      <c r="F79" s="80">
        <v>-5.4535014985876429E-2</v>
      </c>
      <c r="G79" s="83">
        <v>1702768</v>
      </c>
      <c r="H79" s="17">
        <v>1770307</v>
      </c>
      <c r="I79" s="10">
        <f t="shared" si="6"/>
        <v>-3.8151009966068017E-2</v>
      </c>
      <c r="J79" s="44">
        <v>-5.7314574307495425E-3</v>
      </c>
    </row>
    <row r="80" spans="1:10" x14ac:dyDescent="0.2">
      <c r="A80" s="24" t="str">
        <f>VLOOKUP("&lt;Zeilentitel_54&gt;",Uebersetzungen!$B$4:$E$78,Uebersetzungen!$B$2+1,FALSE)</f>
        <v>Waadt</v>
      </c>
      <c r="B80" s="5"/>
      <c r="C80" s="13">
        <v>322167</v>
      </c>
      <c r="D80" s="17">
        <v>314725</v>
      </c>
      <c r="E80" s="10">
        <f t="shared" si="5"/>
        <v>2.3646040193820106E-2</v>
      </c>
      <c r="F80" s="80">
        <v>9.62132873842938E-2</v>
      </c>
      <c r="G80" s="83">
        <v>2010664</v>
      </c>
      <c r="H80" s="17">
        <v>1995695</v>
      </c>
      <c r="I80" s="10">
        <f t="shared" si="6"/>
        <v>7.5006451386609996E-3</v>
      </c>
      <c r="J80" s="44">
        <v>0.21290168775332807</v>
      </c>
    </row>
    <row r="81" spans="1:10" x14ac:dyDescent="0.2">
      <c r="A81" s="24" t="str">
        <f>VLOOKUP("&lt;Zeilentitel_55&gt;",Uebersetzungen!$B$4:$E$78,Uebersetzungen!$B$2+1,FALSE)</f>
        <v>Wallis</v>
      </c>
      <c r="B81" s="5"/>
      <c r="C81" s="13">
        <v>512200</v>
      </c>
      <c r="D81" s="17">
        <v>501435</v>
      </c>
      <c r="E81" s="33">
        <f t="shared" si="5"/>
        <v>2.1468385732946516E-2</v>
      </c>
      <c r="F81" s="80">
        <v>3.5122209899018042E-2</v>
      </c>
      <c r="G81" s="83">
        <v>3258197</v>
      </c>
      <c r="H81" s="17">
        <v>3286600</v>
      </c>
      <c r="I81" s="33">
        <f t="shared" si="6"/>
        <v>-8.6420617051056192E-3</v>
      </c>
      <c r="J81" s="44">
        <v>0.13855669791835656</v>
      </c>
    </row>
    <row r="82" spans="1:10" x14ac:dyDescent="0.2">
      <c r="A82" s="24" t="str">
        <f>VLOOKUP("&lt;Zeilentitel_56&gt;",Uebersetzungen!$B$4:$E$78,Uebersetzungen!$B$2+1,FALSE)</f>
        <v>Zürich Region</v>
      </c>
      <c r="B82" s="7"/>
      <c r="C82" s="14">
        <v>725282</v>
      </c>
      <c r="D82" s="18">
        <v>687194</v>
      </c>
      <c r="E82" s="43">
        <f t="shared" si="5"/>
        <v>5.5425396612892364E-2</v>
      </c>
      <c r="F82" s="11">
        <v>0.37891974271186801</v>
      </c>
      <c r="G82" s="84">
        <v>4821181</v>
      </c>
      <c r="H82" s="18">
        <v>4593056</v>
      </c>
      <c r="I82" s="43">
        <f t="shared" si="6"/>
        <v>4.9667367434666598E-2</v>
      </c>
      <c r="J82" s="48">
        <v>0.51098410671127548</v>
      </c>
    </row>
    <row r="83" spans="1:10" ht="13.5" thickBot="1" x14ac:dyDescent="0.25">
      <c r="A83" s="71" t="str">
        <f>VLOOKUP("&lt;Zeilentitel_57&gt;",Uebersetzungen!$B$4:$E$78,Uebersetzungen!$B$2+1,FALSE)</f>
        <v>Schweiz</v>
      </c>
      <c r="B83" s="39"/>
      <c r="C83" s="30">
        <v>4819936</v>
      </c>
      <c r="D83" s="40">
        <v>4640759</v>
      </c>
      <c r="E83" s="41">
        <f t="shared" si="5"/>
        <v>3.8609417123362855E-2</v>
      </c>
      <c r="F83" s="86">
        <v>0.14125117074509164</v>
      </c>
      <c r="G83" s="79">
        <v>29730953</v>
      </c>
      <c r="H83" s="40">
        <v>28982916</v>
      </c>
      <c r="I83" s="41">
        <f t="shared" si="6"/>
        <v>2.5809583825174842E-2</v>
      </c>
      <c r="J83" s="45">
        <v>0.24977943550285509</v>
      </c>
    </row>
    <row r="84" spans="1:10" x14ac:dyDescent="0.2">
      <c r="A84" s="34"/>
      <c r="B84" s="35"/>
      <c r="C84" s="29"/>
      <c r="D84" s="36"/>
      <c r="E84" s="37"/>
      <c r="F84" s="38"/>
    </row>
    <row r="85" spans="1:10" x14ac:dyDescent="0.2">
      <c r="A85" s="4" t="str">
        <f>VLOOKUP("&lt;Quelle_1&gt;",Uebersetzungen!$B$4:$E$86,Uebersetzungen!$B$2+1,FALSE)</f>
        <v>Quelle: BFS (HESTA)</v>
      </c>
    </row>
    <row r="86" spans="1:10" ht="12.75" customHeight="1" x14ac:dyDescent="0.2">
      <c r="A86" s="4" t="str">
        <f>VLOOKUP("&lt;T8Aktualisierung&gt;",Uebersetzungen!$B$4:$E$304,Uebersetzungen!$B$2+1,FALSE)</f>
        <v>Letztmals aktualisiert am: 04.10.2024</v>
      </c>
    </row>
    <row r="87" spans="1:10" x14ac:dyDescent="0.2">
      <c r="A87" s="4" t="str">
        <f>VLOOKUP("&lt;Legende_2&gt;",Uebersetzungen!$B$4:$E$86,Uebersetzungen!$B$2+1,FALSE)</f>
        <v>Kontakt: Luzius Stricker, 081 257 23 74, luzius.stricker@awt.gr.ch</v>
      </c>
    </row>
    <row r="88" spans="1:10" x14ac:dyDescent="0.2">
      <c r="A88" s="31" t="str">
        <f>VLOOKUP("&lt;T8Legende_3&gt;",Uebersetzungen!$B$4:$E$304,Uebersetzungen!$B$2+1,FALSE)</f>
        <v>Daten des September 2024 erscheinen am 4. November 2024.</v>
      </c>
    </row>
    <row r="90" spans="1:10" x14ac:dyDescent="0.2">
      <c r="A90" s="4" t="s">
        <v>55</v>
      </c>
    </row>
  </sheetData>
  <sheetProtection sheet="1" objects="1" scenarios="1"/>
  <mergeCells count="1">
    <mergeCell ref="A7:D7"/>
  </mergeCells>
  <hyperlinks>
    <hyperlink ref="E63" r:id="rId1"/>
  </hyperlinks>
  <pageMargins left="0.70866141732283472" right="0.70866141732283472" top="0.78740157480314965" bottom="0.78740157480314965" header="0.31496062992125984" footer="0.31496062992125984"/>
  <pageSetup paperSize="9" scale="90" fitToHeight="2" orientation="landscape" r:id="rId2"/>
  <rowBreaks count="2" manualBreakCount="2">
    <brk id="38" max="9" man="1"/>
    <brk id="65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/>
  <dimension ref="A1:J90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24" t="str">
        <f>VLOOKUP("&lt;Fachbereich&gt;",Uebersetzungen!$B$4:$E$304,Uebersetzungen!$B$2+1,FALSE)</f>
        <v>Daten &amp; Statistik</v>
      </c>
      <c r="B7" s="124"/>
      <c r="C7" s="124"/>
      <c r="D7" s="124"/>
      <c r="E7" s="95"/>
      <c r="F7" s="1"/>
    </row>
    <row r="8" spans="1:10" ht="10.5" customHeight="1" x14ac:dyDescent="0.2"/>
    <row r="9" spans="1:10" ht="18" x14ac:dyDescent="0.25">
      <c r="A9" s="2" t="str">
        <f>VLOOKUP("&lt;T7Titel1&gt;",Uebersetzungen!$B$4:$E$304,Uebersetzungen!$B$2+1,FALSE)</f>
        <v>Hotel- und Kurbetriebe: Logiernächte im Juli 2024, nach Herkunft</v>
      </c>
      <c r="B9" s="3"/>
      <c r="C9" s="3"/>
      <c r="D9" s="3"/>
      <c r="E9" s="3"/>
      <c r="F9" s="3"/>
    </row>
    <row r="10" spans="1:10" s="123" customFormat="1" x14ac:dyDescent="0.2">
      <c r="A10" s="120" t="str">
        <f>VLOOKUP("&lt;Titelprov&gt;",Uebersetzungen!$B$4:$E$304,Uebersetzungen!$B$2+1,FALSE)</f>
        <v>definitive Ergebnisse</v>
      </c>
      <c r="B10" s="121"/>
      <c r="C10" s="122"/>
      <c r="D10" s="122"/>
      <c r="E10" s="122"/>
      <c r="F10" s="122"/>
      <c r="G10" s="122"/>
    </row>
    <row r="11" spans="1:10" ht="13.5" thickBot="1" x14ac:dyDescent="0.25"/>
    <row r="12" spans="1:10" ht="51" x14ac:dyDescent="0.2">
      <c r="A12" s="8"/>
      <c r="B12" s="9"/>
      <c r="C12" s="20" t="str">
        <f>VLOOKUP("&lt;T7SpaltenTitel_1&gt;",Uebersetzungen!$B$4:$E$304,Uebersetzungen!$B$2+1,FALSE)</f>
        <v>Juli 2024</v>
      </c>
      <c r="D12" s="21" t="str">
        <f>VLOOKUP("&lt;T7SpaltenTitel_2&gt;",Uebersetzungen!$B$4:$E$304,Uebersetzungen!$B$2+1,FALSE)</f>
        <v>Juli 2023</v>
      </c>
      <c r="E12" s="22" t="str">
        <f>VLOOKUP("&lt;SpaltenTitel_3&gt;",Uebersetzungen!$B$4:$E$304,Uebersetzungen!$B$2+1,FALSE)</f>
        <v>Veränderung 24/23 in %</v>
      </c>
      <c r="F12" s="22" t="str">
        <f>VLOOKUP("&lt;SpaltenTitel_4&gt;",Uebersetzungen!$B$4:$E$304,Uebersetzungen!$B$2+1,FALSE)</f>
        <v>Veränderung zum
5-Jahresmittel 
in %</v>
      </c>
      <c r="G12" s="75" t="str">
        <f>VLOOKUP("&lt;T7SpaltenTitel_5&gt;",Uebersetzungen!$B$4:$E$304,Uebersetzungen!$B$2+1,FALSE)</f>
        <v>Januar-Juli 24</v>
      </c>
      <c r="H12" s="22" t="str">
        <f>VLOOKUP("&lt;T7SpaltenTitel_6&gt;",Uebersetzungen!$B$4:$E$304,Uebersetzungen!$B$2+1,FALSE)</f>
        <v>Januar-Juli 23</v>
      </c>
      <c r="I12" s="22" t="str">
        <f>VLOOKUP("&lt;SpaltenTitel_7&gt;",Uebersetzungen!$B$4:$E$304,Uebersetzungen!$B$2+1,FALSE)</f>
        <v>Veränderung 24/23 in %</v>
      </c>
      <c r="J12" s="23" t="str">
        <f>VLOOKUP("&lt;SpaltenTitel_8&gt;",Uebersetzungen!$B$4:$E$304,Uebersetzungen!$B$2+1,FALSE)</f>
        <v>Veränderung zum
5-Jahresmittel 
in %</v>
      </c>
    </row>
    <row r="13" spans="1:10" x14ac:dyDescent="0.2">
      <c r="A13" s="24" t="str">
        <f>VLOOKUP("&lt;Zeilentitel_1&gt;",Uebersetzungen!$B$4:$E$78,Uebersetzungen!$B$2+1,FALSE)</f>
        <v>Schweiz</v>
      </c>
      <c r="B13" s="5"/>
      <c r="C13" s="51">
        <v>376431</v>
      </c>
      <c r="D13" s="52">
        <v>387240</v>
      </c>
      <c r="E13" s="53">
        <f t="shared" ref="E13:E36" si="0">C13/D13-1</f>
        <v>-2.7912922218779057E-2</v>
      </c>
      <c r="F13" s="72">
        <v>-0.19914806924203188</v>
      </c>
      <c r="G13" s="76">
        <v>2158550</v>
      </c>
      <c r="H13" s="52">
        <v>2172261</v>
      </c>
      <c r="I13" s="53">
        <f t="shared" ref="I13:I36" si="1">G13/H13-1</f>
        <v>-6.3118566323291381E-3</v>
      </c>
      <c r="J13" s="54">
        <v>-7.7293723965854433E-3</v>
      </c>
    </row>
    <row r="14" spans="1:10" x14ac:dyDescent="0.2">
      <c r="A14" s="24" t="str">
        <f>VLOOKUP("&lt;Zeilentitel_2&gt;",Uebersetzungen!$B$4:$E$78,Uebersetzungen!$B$2+1,FALSE)</f>
        <v>Deutschland</v>
      </c>
      <c r="B14" s="5"/>
      <c r="C14" s="51">
        <v>69197</v>
      </c>
      <c r="D14" s="52">
        <v>75712</v>
      </c>
      <c r="E14" s="53">
        <f t="shared" si="0"/>
        <v>-8.6049767540152144E-2</v>
      </c>
      <c r="F14" s="72">
        <v>-5.0480406390049914E-2</v>
      </c>
      <c r="G14" s="76">
        <v>507442</v>
      </c>
      <c r="H14" s="52">
        <v>484833</v>
      </c>
      <c r="I14" s="53">
        <f t="shared" si="1"/>
        <v>4.6632551827124002E-2</v>
      </c>
      <c r="J14" s="54">
        <v>0.19056970403394691</v>
      </c>
    </row>
    <row r="15" spans="1:10" x14ac:dyDescent="0.2">
      <c r="A15" s="24" t="str">
        <f>VLOOKUP("&lt;Zeilentitel_3&gt;",Uebersetzungen!$B$4:$E$78,Uebersetzungen!$B$2+1,FALSE)</f>
        <v>Italien</v>
      </c>
      <c r="B15" s="5"/>
      <c r="C15" s="51">
        <v>8120</v>
      </c>
      <c r="D15" s="52">
        <v>8351</v>
      </c>
      <c r="E15" s="53">
        <f t="shared" si="0"/>
        <v>-2.7661357921207053E-2</v>
      </c>
      <c r="F15" s="72">
        <v>0.1114457006761751</v>
      </c>
      <c r="G15" s="76">
        <v>58079</v>
      </c>
      <c r="H15" s="52">
        <v>55124</v>
      </c>
      <c r="I15" s="53">
        <f t="shared" si="1"/>
        <v>5.3606414628836863E-2</v>
      </c>
      <c r="J15" s="54">
        <v>0.31516496456149068</v>
      </c>
    </row>
    <row r="16" spans="1:10" x14ac:dyDescent="0.2">
      <c r="A16" s="24" t="str">
        <f>VLOOKUP("&lt;Zeilentitel_4&gt;",Uebersetzungen!$B$4:$E$78,Uebersetzungen!$B$2+1,FALSE)</f>
        <v>Frankreich</v>
      </c>
      <c r="B16" s="5"/>
      <c r="C16" s="51">
        <v>5323</v>
      </c>
      <c r="D16" s="52">
        <v>6600</v>
      </c>
      <c r="E16" s="53">
        <f t="shared" si="0"/>
        <v>-0.19348484848484848</v>
      </c>
      <c r="F16" s="72">
        <v>-1.1634016362680466E-3</v>
      </c>
      <c r="G16" s="76">
        <v>40997</v>
      </c>
      <c r="H16" s="52">
        <v>34342</v>
      </c>
      <c r="I16" s="53">
        <f t="shared" si="1"/>
        <v>0.19378603459320942</v>
      </c>
      <c r="J16" s="54">
        <v>0.32430372059669077</v>
      </c>
    </row>
    <row r="17" spans="1:10" x14ac:dyDescent="0.2">
      <c r="A17" s="24" t="str">
        <f>VLOOKUP("&lt;Zeilentitel_5&gt;",Uebersetzungen!$B$4:$E$78,Uebersetzungen!$B$2+1,FALSE)</f>
        <v>Österreich</v>
      </c>
      <c r="B17" s="5"/>
      <c r="C17" s="51">
        <v>6100</v>
      </c>
      <c r="D17" s="52">
        <v>6068</v>
      </c>
      <c r="E17" s="53">
        <f t="shared" si="0"/>
        <v>5.273566249176076E-3</v>
      </c>
      <c r="F17" s="72">
        <v>0.10387260224393779</v>
      </c>
      <c r="G17" s="76">
        <v>28122</v>
      </c>
      <c r="H17" s="52">
        <v>27939</v>
      </c>
      <c r="I17" s="53">
        <f t="shared" si="1"/>
        <v>6.5499838934821586E-3</v>
      </c>
      <c r="J17" s="54">
        <v>0.19091378770041256</v>
      </c>
    </row>
    <row r="18" spans="1:10" x14ac:dyDescent="0.2">
      <c r="A18" s="24" t="str">
        <f>VLOOKUP("&lt;Zeilentitel_6&gt;",Uebersetzungen!$B$4:$E$78,Uebersetzungen!$B$2+1,FALSE)</f>
        <v>Niederlande</v>
      </c>
      <c r="B18" s="5"/>
      <c r="C18" s="51">
        <v>13215</v>
      </c>
      <c r="D18" s="52">
        <v>12316</v>
      </c>
      <c r="E18" s="53">
        <f t="shared" si="0"/>
        <v>7.2994478726859269E-2</v>
      </c>
      <c r="F18" s="72">
        <v>0.21995125733909382</v>
      </c>
      <c r="G18" s="76">
        <v>64810</v>
      </c>
      <c r="H18" s="52">
        <v>65726</v>
      </c>
      <c r="I18" s="53">
        <f t="shared" si="1"/>
        <v>-1.3936646076134207E-2</v>
      </c>
      <c r="J18" s="54">
        <v>0.24599152548889935</v>
      </c>
    </row>
    <row r="19" spans="1:10" x14ac:dyDescent="0.2">
      <c r="A19" s="24" t="str">
        <f>VLOOKUP("&lt;Zeilentitel_7&gt;",Uebersetzungen!$B$4:$E$78,Uebersetzungen!$B$2+1,FALSE)</f>
        <v>Belgien</v>
      </c>
      <c r="B19" s="5"/>
      <c r="C19" s="51">
        <v>24701</v>
      </c>
      <c r="D19" s="52">
        <v>39114</v>
      </c>
      <c r="E19" s="53">
        <f t="shared" si="0"/>
        <v>-0.36848698675666003</v>
      </c>
      <c r="F19" s="72">
        <v>-0.30664248902462299</v>
      </c>
      <c r="G19" s="76">
        <v>64679</v>
      </c>
      <c r="H19" s="52">
        <v>82802</v>
      </c>
      <c r="I19" s="53">
        <f t="shared" si="1"/>
        <v>-0.21887152484239514</v>
      </c>
      <c r="J19" s="54">
        <v>-5.7041970153779653E-2</v>
      </c>
    </row>
    <row r="20" spans="1:10" x14ac:dyDescent="0.2">
      <c r="A20" s="24" t="str">
        <f>VLOOKUP("&lt;Zeilentitel_8&gt;",Uebersetzungen!$B$4:$E$78,Uebersetzungen!$B$2+1,FALSE)</f>
        <v>Luxemburg</v>
      </c>
      <c r="B20" s="5"/>
      <c r="C20" s="51">
        <v>933</v>
      </c>
      <c r="D20" s="52">
        <v>775</v>
      </c>
      <c r="E20" s="53">
        <f t="shared" si="0"/>
        <v>0.20387096774193547</v>
      </c>
      <c r="F20" s="72">
        <v>3.7819799777530694E-2</v>
      </c>
      <c r="G20" s="76">
        <v>10585</v>
      </c>
      <c r="H20" s="52">
        <v>10476</v>
      </c>
      <c r="I20" s="53">
        <f t="shared" si="1"/>
        <v>1.0404734631538792E-2</v>
      </c>
      <c r="J20" s="54">
        <v>6.2047237774165653E-2</v>
      </c>
    </row>
    <row r="21" spans="1:10" x14ac:dyDescent="0.2">
      <c r="A21" s="24" t="str">
        <f>VLOOKUP("&lt;Zeilentitel_9&gt;",Uebersetzungen!$B$4:$E$78,Uebersetzungen!$B$2+1,FALSE)</f>
        <v>Vereinigtes Königreich</v>
      </c>
      <c r="B21" s="5"/>
      <c r="C21" s="51">
        <v>12083</v>
      </c>
      <c r="D21" s="52">
        <v>12511</v>
      </c>
      <c r="E21" s="53">
        <f t="shared" si="0"/>
        <v>-3.4209895292142911E-2</v>
      </c>
      <c r="F21" s="72">
        <v>0.39966175516634239</v>
      </c>
      <c r="G21" s="76">
        <v>109988</v>
      </c>
      <c r="H21" s="52">
        <v>106045</v>
      </c>
      <c r="I21" s="53">
        <f t="shared" si="1"/>
        <v>3.7182328256872177E-2</v>
      </c>
      <c r="J21" s="54">
        <v>0.38988859459350156</v>
      </c>
    </row>
    <row r="22" spans="1:10" x14ac:dyDescent="0.2">
      <c r="A22" s="24" t="str">
        <f>VLOOKUP("&lt;Zeilentitel_10&gt;",Uebersetzungen!$B$4:$E$78,Uebersetzungen!$B$2+1,FALSE)</f>
        <v>Vereinigte Staaten</v>
      </c>
      <c r="B22" s="5"/>
      <c r="C22" s="51">
        <v>18188</v>
      </c>
      <c r="D22" s="52">
        <v>17587</v>
      </c>
      <c r="E22" s="53">
        <f t="shared" si="0"/>
        <v>3.4172968670040271E-2</v>
      </c>
      <c r="F22" s="72">
        <v>0.63241128004451719</v>
      </c>
      <c r="G22" s="76">
        <v>92021</v>
      </c>
      <c r="H22" s="52">
        <v>80078</v>
      </c>
      <c r="I22" s="53">
        <f t="shared" si="1"/>
        <v>0.14914208646569604</v>
      </c>
      <c r="J22" s="54">
        <v>0.82848365867616169</v>
      </c>
    </row>
    <row r="23" spans="1:10" x14ac:dyDescent="0.2">
      <c r="A23" s="24" t="str">
        <f>VLOOKUP("&lt;Zeilentitel_11&gt;",Uebersetzungen!$B$4:$E$78,Uebersetzungen!$B$2+1,FALSE)</f>
        <v>Polen</v>
      </c>
      <c r="B23" s="5"/>
      <c r="C23" s="51">
        <v>2207</v>
      </c>
      <c r="D23" s="52">
        <v>1796</v>
      </c>
      <c r="E23" s="53">
        <f t="shared" si="0"/>
        <v>0.22884187082405338</v>
      </c>
      <c r="F23" s="72">
        <v>0.58412288257249489</v>
      </c>
      <c r="G23" s="76">
        <v>22323</v>
      </c>
      <c r="H23" s="52">
        <v>20358</v>
      </c>
      <c r="I23" s="53">
        <f t="shared" si="1"/>
        <v>9.6522251694665551E-2</v>
      </c>
      <c r="J23" s="54">
        <v>-0.33205067593850435</v>
      </c>
    </row>
    <row r="24" spans="1:10" x14ac:dyDescent="0.2">
      <c r="A24" s="24" t="str">
        <f>VLOOKUP("&lt;Zeilentitel_12&gt;",Uebersetzungen!$B$4:$E$78,Uebersetzungen!$B$2+1,FALSE)</f>
        <v>Tschechien</v>
      </c>
      <c r="B24" s="5"/>
      <c r="C24" s="51">
        <v>3445</v>
      </c>
      <c r="D24" s="52">
        <v>3251</v>
      </c>
      <c r="E24" s="53">
        <f t="shared" si="0"/>
        <v>5.9673946478006723E-2</v>
      </c>
      <c r="F24" s="72">
        <v>0.4613557308899634</v>
      </c>
      <c r="G24" s="76">
        <v>14732</v>
      </c>
      <c r="H24" s="52">
        <v>14475</v>
      </c>
      <c r="I24" s="53">
        <f t="shared" si="1"/>
        <v>1.7754749568221095E-2</v>
      </c>
      <c r="J24" s="54">
        <v>0.2936651504241381</v>
      </c>
    </row>
    <row r="25" spans="1:10" x14ac:dyDescent="0.2">
      <c r="A25" s="24" t="str">
        <f>VLOOKUP("&lt;Zeilentitel_13&gt;",Uebersetzungen!$B$4:$E$78,Uebersetzungen!$B$2+1,FALSE)</f>
        <v>Russland</v>
      </c>
      <c r="B25" s="5"/>
      <c r="C25" s="51">
        <v>389</v>
      </c>
      <c r="D25" s="52">
        <v>499</v>
      </c>
      <c r="E25" s="53">
        <f t="shared" si="0"/>
        <v>-0.22044088176352705</v>
      </c>
      <c r="F25" s="72">
        <v>-0.46565934065934067</v>
      </c>
      <c r="G25" s="76">
        <v>6579</v>
      </c>
      <c r="H25" s="52">
        <v>6931</v>
      </c>
      <c r="I25" s="53">
        <f t="shared" si="1"/>
        <v>-5.0786322320011568E-2</v>
      </c>
      <c r="J25" s="54">
        <v>-0.56429886488562764</v>
      </c>
    </row>
    <row r="26" spans="1:10" x14ac:dyDescent="0.2">
      <c r="A26" s="24" t="str">
        <f>VLOOKUP("&lt;Zeilentitel_14&gt;",Uebersetzungen!$B$4:$E$78,Uebersetzungen!$B$2+1,FALSE)</f>
        <v>Schweden</v>
      </c>
      <c r="B26" s="5"/>
      <c r="C26" s="51">
        <v>1919</v>
      </c>
      <c r="D26" s="52">
        <v>2544</v>
      </c>
      <c r="E26" s="53">
        <f t="shared" si="0"/>
        <v>-0.24567610062893086</v>
      </c>
      <c r="F26" s="72">
        <v>0.10376164730242721</v>
      </c>
      <c r="G26" s="76">
        <v>12114</v>
      </c>
      <c r="H26" s="52">
        <v>12727</v>
      </c>
      <c r="I26" s="53">
        <f t="shared" si="1"/>
        <v>-4.8165317828239185E-2</v>
      </c>
      <c r="J26" s="54">
        <v>0.13710177032684379</v>
      </c>
    </row>
    <row r="27" spans="1:10" x14ac:dyDescent="0.2">
      <c r="A27" s="24" t="str">
        <f>VLOOKUP("&lt;Zeilentitel_15&gt;",Uebersetzungen!$B$4:$E$78,Uebersetzungen!$B$2+1,FALSE)</f>
        <v>Norwegen</v>
      </c>
      <c r="B27" s="5"/>
      <c r="C27" s="51">
        <v>1504</v>
      </c>
      <c r="D27" s="52">
        <v>1920</v>
      </c>
      <c r="E27" s="53">
        <f t="shared" si="0"/>
        <v>-0.21666666666666667</v>
      </c>
      <c r="F27" s="72">
        <v>0.25815626568512617</v>
      </c>
      <c r="G27" s="76">
        <v>5096</v>
      </c>
      <c r="H27" s="52">
        <v>6423</v>
      </c>
      <c r="I27" s="53">
        <f t="shared" si="1"/>
        <v>-0.2066012766619959</v>
      </c>
      <c r="J27" s="54">
        <v>5.1068393696889869E-2</v>
      </c>
    </row>
    <row r="28" spans="1:10" x14ac:dyDescent="0.2">
      <c r="A28" s="24" t="str">
        <f>VLOOKUP("&lt;Zeilentitel_16&gt;",Uebersetzungen!$B$4:$E$78,Uebersetzungen!$B$2+1,FALSE)</f>
        <v>Dänemark</v>
      </c>
      <c r="B28" s="5"/>
      <c r="C28" s="51">
        <v>3634</v>
      </c>
      <c r="D28" s="52">
        <v>3097</v>
      </c>
      <c r="E28" s="53">
        <f t="shared" si="0"/>
        <v>0.17339360671617698</v>
      </c>
      <c r="F28" s="72">
        <v>0.42644057151829173</v>
      </c>
      <c r="G28" s="76">
        <v>10828</v>
      </c>
      <c r="H28" s="52">
        <v>10051</v>
      </c>
      <c r="I28" s="53">
        <f t="shared" si="1"/>
        <v>7.7305740722316107E-2</v>
      </c>
      <c r="J28" s="54">
        <v>0.19993794188700975</v>
      </c>
    </row>
    <row r="29" spans="1:10" x14ac:dyDescent="0.2">
      <c r="A29" s="24" t="str">
        <f>VLOOKUP("&lt;Zeilentitel_17&gt;",Uebersetzungen!$B$4:$E$78,Uebersetzungen!$B$2+1,FALSE)</f>
        <v>Finnland</v>
      </c>
      <c r="B29" s="5"/>
      <c r="C29" s="51">
        <v>634</v>
      </c>
      <c r="D29" s="52">
        <v>1337</v>
      </c>
      <c r="E29" s="53">
        <f t="shared" si="0"/>
        <v>-0.52580403889304406</v>
      </c>
      <c r="F29" s="72">
        <v>-8.855664174813116E-2</v>
      </c>
      <c r="G29" s="76">
        <v>4855</v>
      </c>
      <c r="H29" s="52">
        <v>5867</v>
      </c>
      <c r="I29" s="53">
        <f t="shared" si="1"/>
        <v>-0.17249019942048749</v>
      </c>
      <c r="J29" s="54">
        <v>0.11501538744201012</v>
      </c>
    </row>
    <row r="30" spans="1:10" x14ac:dyDescent="0.2">
      <c r="A30" s="24" t="str">
        <f>VLOOKUP("&lt;Zeilentitel_18&gt;",Uebersetzungen!$B$4:$E$78,Uebersetzungen!$B$2+1,FALSE)</f>
        <v>Japan</v>
      </c>
      <c r="B30" s="5"/>
      <c r="C30" s="51">
        <v>4144</v>
      </c>
      <c r="D30" s="52">
        <v>4112</v>
      </c>
      <c r="E30" s="53">
        <f t="shared" si="0"/>
        <v>7.7821011673151474E-3</v>
      </c>
      <c r="F30" s="72">
        <v>0.25461701483499843</v>
      </c>
      <c r="G30" s="76">
        <v>10312</v>
      </c>
      <c r="H30" s="52">
        <v>8733</v>
      </c>
      <c r="I30" s="53">
        <f t="shared" si="1"/>
        <v>0.18080842780258788</v>
      </c>
      <c r="J30" s="54">
        <v>0.42011182416613879</v>
      </c>
    </row>
    <row r="31" spans="1:10" x14ac:dyDescent="0.2">
      <c r="A31" s="24" t="str">
        <f>VLOOKUP("&lt;Zeilentitel_19&gt;",Uebersetzungen!$B$4:$E$78,Uebersetzungen!$B$2+1,FALSE)</f>
        <v>China / Hongkong / Taiwan (Chin. Taipei)</v>
      </c>
      <c r="B31" s="5"/>
      <c r="C31" s="51">
        <v>5775</v>
      </c>
      <c r="D31" s="52">
        <v>4824</v>
      </c>
      <c r="E31" s="53">
        <f t="shared" si="0"/>
        <v>0.19713930348258701</v>
      </c>
      <c r="F31" s="72">
        <v>1.0396270396270397</v>
      </c>
      <c r="G31" s="76">
        <v>24600</v>
      </c>
      <c r="H31" s="52">
        <v>16031</v>
      </c>
      <c r="I31" s="53">
        <f t="shared" si="1"/>
        <v>0.53452685421994883</v>
      </c>
      <c r="J31" s="54">
        <v>0.95741430344695888</v>
      </c>
    </row>
    <row r="32" spans="1:10" x14ac:dyDescent="0.2">
      <c r="A32" s="24" t="str">
        <f>VLOOKUP("&lt;Zeilentitel_20&gt;",Uebersetzungen!$B$4:$E$78,Uebersetzungen!$B$2+1,FALSE)</f>
        <v xml:space="preserve">Indien </v>
      </c>
      <c r="B32" s="5"/>
      <c r="C32" s="59">
        <v>1725</v>
      </c>
      <c r="D32" s="52">
        <v>2311</v>
      </c>
      <c r="E32" s="53">
        <f t="shared" si="0"/>
        <v>-0.25356988316745999</v>
      </c>
      <c r="F32" s="72">
        <v>0.56420021762785644</v>
      </c>
      <c r="G32" s="77">
        <v>9253</v>
      </c>
      <c r="H32" s="52">
        <v>8408</v>
      </c>
      <c r="I32" s="53">
        <f t="shared" si="1"/>
        <v>0.100499524262607</v>
      </c>
      <c r="J32" s="54">
        <v>0.61398918541775682</v>
      </c>
    </row>
    <row r="33" spans="1:10" x14ac:dyDescent="0.2">
      <c r="A33" s="24" t="str">
        <f>VLOOKUP("&lt;Zeilentitel_21&gt;",Uebersetzungen!$B$4:$E$78,Uebersetzungen!$B$2+1,FALSE)</f>
        <v>Brasilien</v>
      </c>
      <c r="B33" s="5"/>
      <c r="C33" s="51">
        <v>1009</v>
      </c>
      <c r="D33" s="52">
        <v>867</v>
      </c>
      <c r="E33" s="53">
        <f t="shared" si="0"/>
        <v>0.1637831603229527</v>
      </c>
      <c r="F33" s="72">
        <v>1.135901778154107</v>
      </c>
      <c r="G33" s="76">
        <v>21707</v>
      </c>
      <c r="H33" s="52">
        <v>16375</v>
      </c>
      <c r="I33" s="53">
        <f t="shared" si="1"/>
        <v>0.32561832061068707</v>
      </c>
      <c r="J33" s="54">
        <v>0.87659934988588417</v>
      </c>
    </row>
    <row r="34" spans="1:10" x14ac:dyDescent="0.2">
      <c r="A34" s="24" t="str">
        <f>VLOOKUP("&lt;Zeilentitel_22&gt;",Uebersetzungen!$B$4:$E$78,Uebersetzungen!$B$2+1,FALSE)</f>
        <v>Golfstaaten</v>
      </c>
      <c r="B34" s="5"/>
      <c r="C34" s="59">
        <v>3735</v>
      </c>
      <c r="D34" s="55">
        <v>4141</v>
      </c>
      <c r="E34" s="53">
        <f t="shared" si="0"/>
        <v>-9.8043950736537044E-2</v>
      </c>
      <c r="F34" s="72">
        <v>0.38006207508128864</v>
      </c>
      <c r="G34" s="77">
        <v>17705</v>
      </c>
      <c r="H34" s="55">
        <v>13787</v>
      </c>
      <c r="I34" s="53">
        <f t="shared" si="1"/>
        <v>0.28418074998186693</v>
      </c>
      <c r="J34" s="54">
        <v>1.0975002961734392</v>
      </c>
    </row>
    <row r="35" spans="1:10" x14ac:dyDescent="0.2">
      <c r="A35" s="24" t="str">
        <f>VLOOKUP("&lt;Zeilentitel_23&gt;",Uebersetzungen!$B$4:$E$78,Uebersetzungen!$B$2+1,FALSE)</f>
        <v>Übrige Herkunftsländer</v>
      </c>
      <c r="B35" s="5"/>
      <c r="C35" s="56">
        <f>C36-SUM(C13:C34)</f>
        <v>22151</v>
      </c>
      <c r="D35" s="57">
        <f>D36-SUM(D13:D34)</f>
        <v>20537</v>
      </c>
      <c r="E35" s="53">
        <f t="shared" si="0"/>
        <v>7.8589862199931915E-2</v>
      </c>
      <c r="F35" s="73" t="s">
        <v>50</v>
      </c>
      <c r="G35" s="78">
        <f>G36-SUM(G13:G34)</f>
        <v>154932</v>
      </c>
      <c r="H35" s="57">
        <f>H36-SUM(H13:H34)</f>
        <v>141914</v>
      </c>
      <c r="I35" s="53">
        <f t="shared" si="1"/>
        <v>9.1731612103104654E-2</v>
      </c>
      <c r="J35" s="58" t="s">
        <v>50</v>
      </c>
    </row>
    <row r="36" spans="1:10" ht="13.5" thickBot="1" x14ac:dyDescent="0.25">
      <c r="A36" s="26" t="str">
        <f>VLOOKUP("&lt;Zeilentitel_24&gt;",Uebersetzungen!$B$4:$E$78,Uebersetzungen!$B$2+1,FALSE)</f>
        <v>Graubünden</v>
      </c>
      <c r="B36" s="25"/>
      <c r="C36" s="30">
        <f>C61</f>
        <v>586562</v>
      </c>
      <c r="D36" s="19">
        <f>D61</f>
        <v>617510</v>
      </c>
      <c r="E36" s="12">
        <f t="shared" si="0"/>
        <v>-5.011740700555456E-2</v>
      </c>
      <c r="F36" s="74">
        <f>F61</f>
        <v>-0.11650959822531337</v>
      </c>
      <c r="G36" s="79">
        <f t="shared" ref="G36:H36" si="2">G61</f>
        <v>3450309</v>
      </c>
      <c r="H36" s="19">
        <f t="shared" si="2"/>
        <v>3401706</v>
      </c>
      <c r="I36" s="12">
        <f t="shared" si="1"/>
        <v>1.4287830870745477E-2</v>
      </c>
      <c r="J36" s="47">
        <f>J61</f>
        <v>8.0597661683334154E-2</v>
      </c>
    </row>
    <row r="37" spans="1:10" x14ac:dyDescent="0.2">
      <c r="C37" s="15"/>
      <c r="D37" s="16"/>
      <c r="E37" s="28"/>
      <c r="F37" s="27"/>
      <c r="I37" s="15"/>
      <c r="J37" s="15"/>
    </row>
    <row r="38" spans="1:10" x14ac:dyDescent="0.2">
      <c r="C38" s="15"/>
    </row>
    <row r="39" spans="1:10" ht="18" x14ac:dyDescent="0.25">
      <c r="A39" s="2" t="str">
        <f>VLOOKUP("&lt;T7Titel2&gt;",Uebersetzungen!$B$4:$E$304,Uebersetzungen!$B$2+1,FALSE)</f>
        <v>Hotel- und Kurbetriebe: Logiernächte im Juli 2024, nach Destinationen</v>
      </c>
      <c r="B39" s="3"/>
      <c r="C39" s="3"/>
      <c r="D39" s="3"/>
      <c r="E39" s="3"/>
      <c r="F39" s="3"/>
    </row>
    <row r="40" spans="1:10" s="123" customFormat="1" x14ac:dyDescent="0.2">
      <c r="A40" s="120" t="str">
        <f>VLOOKUP("&lt;Titelprov&gt;",Uebersetzungen!$B$4:$E$304,Uebersetzungen!$B$2+1,FALSE)</f>
        <v>definitive Ergebnisse</v>
      </c>
      <c r="B40" s="121"/>
      <c r="C40" s="122"/>
      <c r="D40" s="122"/>
      <c r="E40" s="122"/>
      <c r="F40" s="122"/>
      <c r="G40" s="122"/>
    </row>
    <row r="41" spans="1:10" ht="13.5" thickBot="1" x14ac:dyDescent="0.25"/>
    <row r="42" spans="1:10" ht="51" x14ac:dyDescent="0.2">
      <c r="A42" s="8"/>
      <c r="B42" s="9"/>
      <c r="C42" s="20" t="str">
        <f>VLOOKUP("&lt;T7SpaltenTitel_1&gt;",Uebersetzungen!$B$4:$E$304,Uebersetzungen!$B$2+1,FALSE)</f>
        <v>Juli 2024</v>
      </c>
      <c r="D42" s="21" t="str">
        <f>VLOOKUP("&lt;T7SpaltenTitel_2&gt;",Uebersetzungen!$B$4:$E$304,Uebersetzungen!$B$2+1,FALSE)</f>
        <v>Juli 2023</v>
      </c>
      <c r="E42" s="22" t="str">
        <f>VLOOKUP("&lt;SpaltenTitel_3&gt;",Uebersetzungen!$B$4:$E$304,Uebersetzungen!$B$2+1,FALSE)</f>
        <v>Veränderung 24/23 in %</v>
      </c>
      <c r="F42" s="22" t="str">
        <f>VLOOKUP("&lt;SpaltenTitel_4&gt;",Uebersetzungen!$B$4:$E$304,Uebersetzungen!$B$2+1,FALSE)</f>
        <v>Veränderung zum
5-Jahresmittel 
in %</v>
      </c>
      <c r="G42" s="75" t="str">
        <f>VLOOKUP("&lt;T7SpaltenTitel_5&gt;",Uebersetzungen!$B$4:$E$304,Uebersetzungen!$B$2+1,FALSE)</f>
        <v>Januar-Juli 24</v>
      </c>
      <c r="H42" s="22" t="str">
        <f>VLOOKUP("&lt;T7SpaltenTitel_6&gt;",Uebersetzungen!$B$4:$E$304,Uebersetzungen!$B$2+1,FALSE)</f>
        <v>Januar-Juli 23</v>
      </c>
      <c r="I42" s="22" t="str">
        <f>VLOOKUP("&lt;SpaltenTitel_7&gt;",Uebersetzungen!$B$4:$E$304,Uebersetzungen!$B$2+1,FALSE)</f>
        <v>Veränderung 24/23 in %</v>
      </c>
      <c r="J42" s="23" t="str">
        <f>VLOOKUP("&lt;SpaltenTitel_8&gt;",Uebersetzungen!$B$4:$E$304,Uebersetzungen!$B$2+1,FALSE)</f>
        <v>Veränderung zum
5-Jahresmittel 
in %</v>
      </c>
    </row>
    <row r="43" spans="1:10" x14ac:dyDescent="0.2">
      <c r="A43" s="24" t="str">
        <f>VLOOKUP("&lt;Zeilentitel_25&gt;",Uebersetzungen!$B$4:$E$78,Uebersetzungen!$B$2+1,FALSE)</f>
        <v>Arosa</v>
      </c>
      <c r="B43" s="5"/>
      <c r="C43" s="13">
        <v>42669</v>
      </c>
      <c r="D43" s="17">
        <v>38580</v>
      </c>
      <c r="E43" s="10">
        <f>C43/D43-1</f>
        <v>0.10598755832037332</v>
      </c>
      <c r="F43" s="80">
        <v>-2.2939813330646652E-2</v>
      </c>
      <c r="G43" s="83">
        <v>290802</v>
      </c>
      <c r="H43" s="17">
        <v>276716</v>
      </c>
      <c r="I43" s="10">
        <f>G43/H43-1</f>
        <v>5.0904176122811728E-2</v>
      </c>
      <c r="J43" s="44">
        <v>0.13499564036653711</v>
      </c>
    </row>
    <row r="44" spans="1:10" x14ac:dyDescent="0.2">
      <c r="A44" s="24" t="str">
        <f>VLOOKUP("&lt;Zeilentitel_26&gt;",Uebersetzungen!$B$4:$E$78,Uebersetzungen!$B$2+1,FALSE)</f>
        <v>Bergün Filisur</v>
      </c>
      <c r="B44" s="5"/>
      <c r="C44" s="13">
        <v>7148</v>
      </c>
      <c r="D44" s="17">
        <v>8015</v>
      </c>
      <c r="E44" s="10">
        <f t="shared" ref="E44:E61" si="3">C44/D44-1</f>
        <v>-0.10817217716781036</v>
      </c>
      <c r="F44" s="80">
        <v>-0.18112040325352274</v>
      </c>
      <c r="G44" s="83">
        <v>35630</v>
      </c>
      <c r="H44" s="17">
        <v>40436</v>
      </c>
      <c r="I44" s="10">
        <f t="shared" ref="I44:I61" si="4">G44/H44-1</f>
        <v>-0.11885448610149374</v>
      </c>
      <c r="J44" s="44">
        <v>-5.6398902530747086E-2</v>
      </c>
    </row>
    <row r="45" spans="1:10" x14ac:dyDescent="0.2">
      <c r="A45" s="24" t="str">
        <f>VLOOKUP("&lt;Zeilentitel_27&gt;",Uebersetzungen!$B$4:$E$78,Uebersetzungen!$B$2+1,FALSE)</f>
        <v>Bregaglia Engadin</v>
      </c>
      <c r="B45" s="5"/>
      <c r="C45" s="13">
        <v>8172</v>
      </c>
      <c r="D45" s="17">
        <v>8712</v>
      </c>
      <c r="E45" s="10">
        <f t="shared" si="3"/>
        <v>-6.1983471074380181E-2</v>
      </c>
      <c r="F45" s="80">
        <v>-0.1380110543858909</v>
      </c>
      <c r="G45" s="83">
        <v>30213</v>
      </c>
      <c r="H45" s="17">
        <v>28754</v>
      </c>
      <c r="I45" s="10">
        <f t="shared" si="4"/>
        <v>5.0740766502051837E-2</v>
      </c>
      <c r="J45" s="44">
        <v>7.8173133616421531E-4</v>
      </c>
    </row>
    <row r="46" spans="1:10" x14ac:dyDescent="0.2">
      <c r="A46" s="24" t="str">
        <f>VLOOKUP("&lt;Zeilentitel_28&gt;",Uebersetzungen!$B$4:$E$78,Uebersetzungen!$B$2+1,FALSE)</f>
        <v>Bündner Herrschaft</v>
      </c>
      <c r="B46" s="5"/>
      <c r="C46" s="13">
        <v>5981</v>
      </c>
      <c r="D46" s="17">
        <v>5444</v>
      </c>
      <c r="E46" s="10">
        <f t="shared" si="3"/>
        <v>9.8640705363703063E-2</v>
      </c>
      <c r="F46" s="80">
        <v>0.164434234093918</v>
      </c>
      <c r="G46" s="83">
        <v>33241</v>
      </c>
      <c r="H46" s="17">
        <v>30508</v>
      </c>
      <c r="I46" s="10">
        <f t="shared" si="4"/>
        <v>8.9583060180936203E-2</v>
      </c>
      <c r="J46" s="44">
        <v>0.315454142526989</v>
      </c>
    </row>
    <row r="47" spans="1:10" x14ac:dyDescent="0.2">
      <c r="A47" s="24" t="str">
        <f>VLOOKUP("&lt;Zeilentitel_29&gt;",Uebersetzungen!$B$4:$E$78,Uebersetzungen!$B$2+1,FALSE)</f>
        <v>Chur</v>
      </c>
      <c r="B47" s="5"/>
      <c r="C47" s="13">
        <v>24716</v>
      </c>
      <c r="D47" s="17">
        <v>22087</v>
      </c>
      <c r="E47" s="10">
        <f t="shared" si="3"/>
        <v>0.1190292932494228</v>
      </c>
      <c r="F47" s="80">
        <v>0.23640583886104194</v>
      </c>
      <c r="G47" s="83">
        <v>144856</v>
      </c>
      <c r="H47" s="17">
        <v>129835</v>
      </c>
      <c r="I47" s="10">
        <f t="shared" si="4"/>
        <v>0.1156929949551353</v>
      </c>
      <c r="J47" s="44">
        <v>0.43181350919643857</v>
      </c>
    </row>
    <row r="48" spans="1:10" x14ac:dyDescent="0.2">
      <c r="A48" s="24" t="str">
        <f>VLOOKUP("&lt;Zeilentitel_30&gt;",Uebersetzungen!$B$4:$E$78,Uebersetzungen!$B$2+1,FALSE)</f>
        <v>Davos Klosters</v>
      </c>
      <c r="B48" s="5"/>
      <c r="C48" s="13">
        <v>94204</v>
      </c>
      <c r="D48" s="17">
        <v>103647</v>
      </c>
      <c r="E48" s="10">
        <f t="shared" si="3"/>
        <v>-9.1107316178953512E-2</v>
      </c>
      <c r="F48" s="80">
        <v>-0.1281088725501085</v>
      </c>
      <c r="G48" s="83">
        <v>601513</v>
      </c>
      <c r="H48" s="17">
        <v>596991</v>
      </c>
      <c r="I48" s="10">
        <f t="shared" si="4"/>
        <v>7.5746535542411397E-3</v>
      </c>
      <c r="J48" s="44">
        <v>4.9612899263070664E-2</v>
      </c>
    </row>
    <row r="49" spans="1:10" x14ac:dyDescent="0.2">
      <c r="A49" s="24" t="str">
        <f>VLOOKUP("&lt;Zeilentitel_31&gt;",Uebersetzungen!$B$4:$E$78,Uebersetzungen!$B$2+1,FALSE)</f>
        <v>Disentis Sedrun</v>
      </c>
      <c r="B49" s="5"/>
      <c r="C49" s="13">
        <v>12971</v>
      </c>
      <c r="D49" s="17">
        <v>16721</v>
      </c>
      <c r="E49" s="10">
        <f t="shared" si="3"/>
        <v>-0.22426888343998563</v>
      </c>
      <c r="F49" s="80">
        <v>-0.29087668656651133</v>
      </c>
      <c r="G49" s="83">
        <v>89914</v>
      </c>
      <c r="H49" s="17">
        <v>94257</v>
      </c>
      <c r="I49" s="10">
        <f t="shared" si="4"/>
        <v>-4.6076153495231087E-2</v>
      </c>
      <c r="J49" s="44">
        <v>9.3479788975451061E-2</v>
      </c>
    </row>
    <row r="50" spans="1:10" x14ac:dyDescent="0.2">
      <c r="A50" s="24" t="str">
        <f>VLOOKUP("&lt;Zeilentitel_32&gt;",Uebersetzungen!$B$4:$E$78,Uebersetzungen!$B$2+1,FALSE)</f>
        <v>Scuol Samnaun Val Müstair</v>
      </c>
      <c r="B50" s="5"/>
      <c r="C50" s="13">
        <v>60365</v>
      </c>
      <c r="D50" s="17">
        <v>60602</v>
      </c>
      <c r="E50" s="10">
        <f t="shared" si="3"/>
        <v>-3.9107620210554472E-3</v>
      </c>
      <c r="F50" s="80">
        <v>-0.14618587730762478</v>
      </c>
      <c r="G50" s="83">
        <v>331997</v>
      </c>
      <c r="H50" s="17">
        <v>325945</v>
      </c>
      <c r="I50" s="10">
        <f t="shared" si="4"/>
        <v>1.8567549739986866E-2</v>
      </c>
      <c r="J50" s="44">
        <v>3.50453304069136E-2</v>
      </c>
    </row>
    <row r="51" spans="1:10" x14ac:dyDescent="0.2">
      <c r="A51" s="24" t="str">
        <f>VLOOKUP("&lt;Zeilentitel_33&gt;",Uebersetzungen!$B$4:$E$78,Uebersetzungen!$B$2+1,FALSE)</f>
        <v>Engadin St. Moritz</v>
      </c>
      <c r="B51" s="5"/>
      <c r="C51" s="13">
        <v>189389</v>
      </c>
      <c r="D51" s="17">
        <v>207888</v>
      </c>
      <c r="E51" s="10">
        <f t="shared" si="3"/>
        <v>-8.8985415223581943E-2</v>
      </c>
      <c r="F51" s="80">
        <v>-0.12513269283537221</v>
      </c>
      <c r="G51" s="83">
        <v>1042040</v>
      </c>
      <c r="H51" s="17">
        <v>1027057</v>
      </c>
      <c r="I51" s="10">
        <f t="shared" si="4"/>
        <v>1.4588284778741523E-2</v>
      </c>
      <c r="J51" s="44">
        <v>0.11615826645209815</v>
      </c>
    </row>
    <row r="52" spans="1:10" x14ac:dyDescent="0.2">
      <c r="A52" s="24" t="str">
        <f>VLOOKUP("&lt;Zeilentitel_34&gt;",Uebersetzungen!$B$4:$E$78,Uebersetzungen!$B$2+1,FALSE)</f>
        <v>Flims Laax</v>
      </c>
      <c r="B52" s="5"/>
      <c r="C52" s="13">
        <v>46439</v>
      </c>
      <c r="D52" s="17">
        <v>51606</v>
      </c>
      <c r="E52" s="10">
        <f t="shared" si="3"/>
        <v>-0.10012401658721859</v>
      </c>
      <c r="F52" s="80">
        <v>-0.22190312786933597</v>
      </c>
      <c r="G52" s="83">
        <v>313297</v>
      </c>
      <c r="H52" s="17">
        <v>326911</v>
      </c>
      <c r="I52" s="10">
        <f t="shared" si="4"/>
        <v>-4.1644361921134521E-2</v>
      </c>
      <c r="J52" s="44">
        <v>-3.8686710123066459E-2</v>
      </c>
    </row>
    <row r="53" spans="1:10" x14ac:dyDescent="0.2">
      <c r="A53" s="24" t="str">
        <f>VLOOKUP("&lt;Zeilentitel_35&gt;",Uebersetzungen!$B$4:$E$78,Uebersetzungen!$B$2+1,FALSE)</f>
        <v>Lenzerheide</v>
      </c>
      <c r="B53" s="5"/>
      <c r="C53" s="13">
        <v>31285</v>
      </c>
      <c r="D53" s="17">
        <v>29237</v>
      </c>
      <c r="E53" s="10">
        <f t="shared" si="3"/>
        <v>7.0048226562232863E-2</v>
      </c>
      <c r="F53" s="80">
        <v>-0.14988723132523574</v>
      </c>
      <c r="G53" s="83">
        <v>206292</v>
      </c>
      <c r="H53" s="17">
        <v>200793</v>
      </c>
      <c r="I53" s="10">
        <f t="shared" si="4"/>
        <v>2.7386412872958621E-2</v>
      </c>
      <c r="J53" s="44">
        <v>1.6612376244942606E-2</v>
      </c>
    </row>
    <row r="54" spans="1:10" x14ac:dyDescent="0.2">
      <c r="A54" s="24" t="str">
        <f>VLOOKUP("&lt;Zeilentitel_36&gt;",Uebersetzungen!$B$4:$E$78,Uebersetzungen!$B$2+1,FALSE)</f>
        <v>Prättigau</v>
      </c>
      <c r="B54" s="5"/>
      <c r="C54" s="13">
        <v>6663</v>
      </c>
      <c r="D54" s="17">
        <v>6876</v>
      </c>
      <c r="E54" s="10">
        <f t="shared" si="3"/>
        <v>-3.0977312390924938E-2</v>
      </c>
      <c r="F54" s="80">
        <v>-2.4479517437263842E-2</v>
      </c>
      <c r="G54" s="83">
        <v>53257</v>
      </c>
      <c r="H54" s="17">
        <v>55818</v>
      </c>
      <c r="I54" s="10">
        <f t="shared" si="4"/>
        <v>-4.5881256942205018E-2</v>
      </c>
      <c r="J54" s="44">
        <v>0.17513757783573625</v>
      </c>
    </row>
    <row r="55" spans="1:10" x14ac:dyDescent="0.2">
      <c r="A55" s="24" t="str">
        <f>VLOOKUP("&lt;Zeilentitel_37&gt;",Uebersetzungen!$B$4:$E$78,Uebersetzungen!$B$2+1,FALSE)</f>
        <v>San Bernardino, Mesolcina/Calanca</v>
      </c>
      <c r="B55" s="5"/>
      <c r="C55" s="13">
        <v>3328</v>
      </c>
      <c r="D55" s="17">
        <v>4223</v>
      </c>
      <c r="E55" s="10">
        <f t="shared" si="3"/>
        <v>-0.21193464361828085</v>
      </c>
      <c r="F55" s="80">
        <v>-0.11475235409905837</v>
      </c>
      <c r="G55" s="83">
        <v>14450</v>
      </c>
      <c r="H55" s="17">
        <v>14914</v>
      </c>
      <c r="I55" s="10">
        <f t="shared" si="4"/>
        <v>-3.1111707120826115E-2</v>
      </c>
      <c r="J55" s="44">
        <v>3.6377198267205868E-2</v>
      </c>
    </row>
    <row r="56" spans="1:10" x14ac:dyDescent="0.2">
      <c r="A56" s="24" t="str">
        <f>VLOOKUP("&lt;Zeilentitel_38&gt;",Uebersetzungen!$B$4:$E$78,Uebersetzungen!$B$2+1,FALSE)</f>
        <v>Val Surses</v>
      </c>
      <c r="B56" s="5"/>
      <c r="C56" s="13">
        <v>11660</v>
      </c>
      <c r="D56" s="17">
        <v>10525</v>
      </c>
      <c r="E56" s="10">
        <f t="shared" si="3"/>
        <v>0.1078384798099763</v>
      </c>
      <c r="F56" s="80">
        <v>0.18440566401885294</v>
      </c>
      <c r="G56" s="83">
        <v>64124</v>
      </c>
      <c r="H56" s="17">
        <v>55871</v>
      </c>
      <c r="I56" s="10">
        <f t="shared" si="4"/>
        <v>0.14771527268171325</v>
      </c>
      <c r="J56" s="44">
        <v>0.30666373235849087</v>
      </c>
    </row>
    <row r="57" spans="1:10" x14ac:dyDescent="0.2">
      <c r="A57" s="24" t="str">
        <f>VLOOKUP("&lt;Zeilentitel_39&gt;",Uebersetzungen!$B$4:$E$78,Uebersetzungen!$B$2+1,FALSE)</f>
        <v>Surselva</v>
      </c>
      <c r="B57" s="5"/>
      <c r="C57" s="13">
        <v>11083</v>
      </c>
      <c r="D57" s="17">
        <v>10227</v>
      </c>
      <c r="E57" s="10">
        <f t="shared" si="3"/>
        <v>8.3700009778038487E-2</v>
      </c>
      <c r="F57" s="80">
        <v>-0.14772377729929254</v>
      </c>
      <c r="G57" s="83">
        <v>64303</v>
      </c>
      <c r="H57" s="17">
        <v>63752</v>
      </c>
      <c r="I57" s="10">
        <f t="shared" si="4"/>
        <v>8.6428661061612733E-3</v>
      </c>
      <c r="J57" s="44">
        <v>-4.9396550194842348E-2</v>
      </c>
    </row>
    <row r="58" spans="1:10" x14ac:dyDescent="0.2">
      <c r="A58" s="24" t="str">
        <f>VLOOKUP("&lt;Zeilentitel_40&gt;",Uebersetzungen!$B$4:$E$78,Uebersetzungen!$B$2+1,FALSE)</f>
        <v>Valposchiavo</v>
      </c>
      <c r="B58" s="5"/>
      <c r="C58" s="13">
        <v>12166</v>
      </c>
      <c r="D58" s="17">
        <v>13051</v>
      </c>
      <c r="E58" s="10">
        <f t="shared" si="3"/>
        <v>-6.7810895716803321E-2</v>
      </c>
      <c r="F58" s="80">
        <v>-2.3297634912734289E-2</v>
      </c>
      <c r="G58" s="83">
        <v>39616</v>
      </c>
      <c r="H58" s="17">
        <v>39524</v>
      </c>
      <c r="I58" s="10">
        <f t="shared" si="4"/>
        <v>2.3276996255439109E-3</v>
      </c>
      <c r="J58" s="44">
        <v>0.14249459264599862</v>
      </c>
    </row>
    <row r="59" spans="1:10" x14ac:dyDescent="0.2">
      <c r="A59" s="24" t="str">
        <f>VLOOKUP("&lt;Zeilentitel_41&gt;",Uebersetzungen!$B$4:$E$78,Uebersetzungen!$B$2+1,FALSE)</f>
        <v>Vals</v>
      </c>
      <c r="B59" s="5"/>
      <c r="C59" s="13">
        <v>5530</v>
      </c>
      <c r="D59" s="17">
        <v>5953</v>
      </c>
      <c r="E59" s="10">
        <f t="shared" si="3"/>
        <v>-7.1056610112548269E-2</v>
      </c>
      <c r="F59" s="80">
        <v>-0.20884717731551694</v>
      </c>
      <c r="G59" s="83">
        <v>38701</v>
      </c>
      <c r="H59" s="17">
        <v>39227</v>
      </c>
      <c r="I59" s="10">
        <f t="shared" si="4"/>
        <v>-1.340913146557221E-2</v>
      </c>
      <c r="J59" s="44">
        <v>-4.5390861641984026E-2</v>
      </c>
    </row>
    <row r="60" spans="1:10" x14ac:dyDescent="0.2">
      <c r="A60" s="24" t="str">
        <f>VLOOKUP("&lt;Zeilentitel_42&gt;",Uebersetzungen!$B$4:$E$78,Uebersetzungen!$B$2+1,FALSE)</f>
        <v>Viamala</v>
      </c>
      <c r="B60" s="7"/>
      <c r="C60" s="14">
        <v>12793</v>
      </c>
      <c r="D60" s="18">
        <v>14116</v>
      </c>
      <c r="E60" s="11">
        <f t="shared" si="3"/>
        <v>-9.3723434400680095E-2</v>
      </c>
      <c r="F60" s="81">
        <v>-8.7817121343924276E-2</v>
      </c>
      <c r="G60" s="84">
        <v>56063</v>
      </c>
      <c r="H60" s="18">
        <v>54397</v>
      </c>
      <c r="I60" s="11">
        <f t="shared" si="4"/>
        <v>3.0626688971818306E-2</v>
      </c>
      <c r="J60" s="46">
        <v>6.4262364791240367E-2</v>
      </c>
    </row>
    <row r="61" spans="1:10" ht="13.5" thickBot="1" x14ac:dyDescent="0.25">
      <c r="A61" s="26" t="str">
        <f>VLOOKUP("&lt;Zeilentitel_43&gt;",Uebersetzungen!$B$4:$E$78,Uebersetzungen!$B$2+1,FALSE)</f>
        <v>Graubünden</v>
      </c>
      <c r="B61" s="6"/>
      <c r="C61" s="30">
        <v>586562</v>
      </c>
      <c r="D61" s="40">
        <v>617510</v>
      </c>
      <c r="E61" s="65">
        <f t="shared" si="3"/>
        <v>-5.011740700555456E-2</v>
      </c>
      <c r="F61" s="82">
        <v>-0.11650959822531337</v>
      </c>
      <c r="G61" s="79">
        <v>3450309</v>
      </c>
      <c r="H61" s="40">
        <v>3401706</v>
      </c>
      <c r="I61" s="65">
        <f t="shared" si="4"/>
        <v>1.4287830870745477E-2</v>
      </c>
      <c r="J61" s="66">
        <v>8.0597661683334154E-2</v>
      </c>
    </row>
    <row r="63" spans="1:10" x14ac:dyDescent="0.2">
      <c r="A63" s="4" t="str">
        <f>VLOOKUP("&lt;Legende_1&gt;",Uebersetzungen!$B$4:$E$80,Uebersetzungen!$B$2+1,FALSE)</f>
        <v>Aktuelle Zuordnung der politischen Gemeinden zu Destinationen:</v>
      </c>
      <c r="E63" s="67" t="s">
        <v>214</v>
      </c>
      <c r="F63" s="49"/>
    </row>
    <row r="65" spans="1:10" ht="10.5" customHeight="1" x14ac:dyDescent="0.2"/>
    <row r="66" spans="1:10" ht="18" x14ac:dyDescent="0.25">
      <c r="A66" s="2" t="str">
        <f>VLOOKUP("&lt;T7Titel3&gt;",Uebersetzungen!$B$4:$E$304,Uebersetzungen!$B$2+1,FALSE)</f>
        <v>Hotel- und Kurbetriebe: Logiernächte im Juli 2024, nach Schweizer Tourismusregionen</v>
      </c>
      <c r="B66" s="3"/>
      <c r="C66" s="3"/>
      <c r="D66" s="3"/>
      <c r="E66" s="3"/>
      <c r="F66" s="3"/>
    </row>
    <row r="67" spans="1:10" s="123" customFormat="1" x14ac:dyDescent="0.2">
      <c r="A67" s="120" t="str">
        <f>VLOOKUP("&lt;Titelprov&gt;",Uebersetzungen!$B$4:$E$304,Uebersetzungen!$B$2+1,FALSE)</f>
        <v>definitive Ergebnisse</v>
      </c>
      <c r="B67" s="121"/>
      <c r="C67" s="122"/>
      <c r="D67" s="122"/>
      <c r="E67" s="122"/>
      <c r="F67" s="122"/>
      <c r="G67" s="122"/>
    </row>
    <row r="68" spans="1:10" ht="18.75" customHeight="1" thickBot="1" x14ac:dyDescent="0.3">
      <c r="A68" s="50"/>
    </row>
    <row r="69" spans="1:10" ht="51" x14ac:dyDescent="0.2">
      <c r="A69" s="8"/>
      <c r="B69" s="9"/>
      <c r="C69" s="20" t="str">
        <f>VLOOKUP("&lt;T7SpaltenTitel_1&gt;",Uebersetzungen!$B$4:$E$304,Uebersetzungen!$B$2+1,FALSE)</f>
        <v>Juli 2024</v>
      </c>
      <c r="D69" s="21" t="str">
        <f>VLOOKUP("&lt;T7SpaltenTitel_2&gt;",Uebersetzungen!$B$4:$E$304,Uebersetzungen!$B$2+1,FALSE)</f>
        <v>Juli 2023</v>
      </c>
      <c r="E69" s="22" t="str">
        <f>VLOOKUP("&lt;SpaltenTitel_3&gt;",Uebersetzungen!$B$4:$E$304,Uebersetzungen!$B$2+1,FALSE)</f>
        <v>Veränderung 24/23 in %</v>
      </c>
      <c r="F69" s="22" t="str">
        <f>VLOOKUP("&lt;SpaltenTitel_4&gt;",Uebersetzungen!$B$4:$E$304,Uebersetzungen!$B$2+1,FALSE)</f>
        <v>Veränderung zum
5-Jahresmittel 
in %</v>
      </c>
      <c r="G69" s="75" t="str">
        <f>VLOOKUP("&lt;T7SpaltenTitel_5&gt;",Uebersetzungen!$B$4:$E$304,Uebersetzungen!$B$2+1,FALSE)</f>
        <v>Januar-Juli 24</v>
      </c>
      <c r="H69" s="22" t="str">
        <f>VLOOKUP("&lt;T7SpaltenTitel_6&gt;",Uebersetzungen!$B$4:$E$304,Uebersetzungen!$B$2+1,FALSE)</f>
        <v>Januar-Juli 23</v>
      </c>
      <c r="I69" s="22" t="str">
        <f>VLOOKUP("&lt;SpaltenTitel_7&gt;",Uebersetzungen!$B$4:$E$304,Uebersetzungen!$B$2+1,FALSE)</f>
        <v>Veränderung 24/23 in %</v>
      </c>
      <c r="J69" s="23" t="str">
        <f>VLOOKUP("&lt;SpaltenTitel_8&gt;",Uebersetzungen!$B$4:$E$304,Uebersetzungen!$B$2+1,FALSE)</f>
        <v>Veränderung zum
5-Jahresmittel 
in %</v>
      </c>
    </row>
    <row r="70" spans="1:10" x14ac:dyDescent="0.2">
      <c r="A70" s="24" t="str">
        <f>VLOOKUP("&lt;Zeilentitel_44&gt;",Uebersetzungen!$B$4:$E$78,Uebersetzungen!$B$2+1,FALSE)</f>
        <v>Aargau und Solothurn Region</v>
      </c>
      <c r="B70" s="5"/>
      <c r="C70" s="13">
        <v>117647</v>
      </c>
      <c r="D70" s="17">
        <v>110940</v>
      </c>
      <c r="E70" s="10">
        <f>C70/D70-1</f>
        <v>6.0456102397692391E-2</v>
      </c>
      <c r="F70" s="80">
        <v>0.23929742211135752</v>
      </c>
      <c r="G70" s="83">
        <v>693657</v>
      </c>
      <c r="H70" s="17">
        <v>648464</v>
      </c>
      <c r="I70" s="10">
        <f>G70/H70-1</f>
        <v>6.9692380764390993E-2</v>
      </c>
      <c r="J70" s="44">
        <v>0.34973626265857516</v>
      </c>
    </row>
    <row r="71" spans="1:10" x14ac:dyDescent="0.2">
      <c r="A71" s="24" t="str">
        <f>VLOOKUP("&lt;Zeilentitel_45&gt;",Uebersetzungen!$B$4:$E$78,Uebersetzungen!$B$2+1,FALSE)</f>
        <v>Basel Region</v>
      </c>
      <c r="B71" s="5"/>
      <c r="C71" s="13">
        <v>177420</v>
      </c>
      <c r="D71" s="17">
        <v>167863</v>
      </c>
      <c r="E71" s="10">
        <f t="shared" ref="E71:E83" si="5">C71/D71-1</f>
        <v>5.6933332539034875E-2</v>
      </c>
      <c r="F71" s="80">
        <v>0.3181865462056257</v>
      </c>
      <c r="G71" s="83">
        <v>985751</v>
      </c>
      <c r="H71" s="17">
        <v>961240</v>
      </c>
      <c r="I71" s="10">
        <f t="shared" ref="I71:I83" si="6">G71/H71-1</f>
        <v>2.5499354999791946E-2</v>
      </c>
      <c r="J71" s="44">
        <v>0.38757025469049666</v>
      </c>
    </row>
    <row r="72" spans="1:10" x14ac:dyDescent="0.2">
      <c r="A72" s="24" t="str">
        <f>VLOOKUP("&lt;Zeilentitel_46&gt;",Uebersetzungen!$B$4:$E$78,Uebersetzungen!$B$2+1,FALSE)</f>
        <v>Bern Region</v>
      </c>
      <c r="B72" s="5"/>
      <c r="C72" s="13">
        <v>781915</v>
      </c>
      <c r="D72" s="17">
        <v>756829</v>
      </c>
      <c r="E72" s="10">
        <f t="shared" si="5"/>
        <v>3.3146192865231017E-2</v>
      </c>
      <c r="F72" s="80">
        <v>0.22968054396161208</v>
      </c>
      <c r="G72" s="83">
        <v>3602920</v>
      </c>
      <c r="H72" s="17">
        <v>3467664</v>
      </c>
      <c r="I72" s="10">
        <f t="shared" si="6"/>
        <v>3.9004932427132433E-2</v>
      </c>
      <c r="J72" s="44">
        <v>0.33720581097302116</v>
      </c>
    </row>
    <row r="73" spans="1:10" x14ac:dyDescent="0.2">
      <c r="A73" s="24" t="str">
        <f>VLOOKUP("&lt;Zeilentitel_47&gt;",Uebersetzungen!$B$4:$E$78,Uebersetzungen!$B$2+1,FALSE)</f>
        <v>Fribourg Region</v>
      </c>
      <c r="B73" s="5"/>
      <c r="C73" s="13">
        <v>52961</v>
      </c>
      <c r="D73" s="17">
        <v>57721</v>
      </c>
      <c r="E73" s="10">
        <f t="shared" si="5"/>
        <v>-8.2465653748202583E-2</v>
      </c>
      <c r="F73" s="80">
        <v>-2.8737529342723001E-2</v>
      </c>
      <c r="G73" s="83">
        <v>275259</v>
      </c>
      <c r="H73" s="17">
        <v>275183</v>
      </c>
      <c r="I73" s="10">
        <f t="shared" si="6"/>
        <v>2.7617985122629918E-4</v>
      </c>
      <c r="J73" s="44">
        <v>0.16656622446670255</v>
      </c>
    </row>
    <row r="74" spans="1:10" x14ac:dyDescent="0.2">
      <c r="A74" s="24" t="str">
        <f>VLOOKUP("&lt;Zeilentitel_48&gt;",Uebersetzungen!$B$4:$E$78,Uebersetzungen!$B$2+1,FALSE)</f>
        <v>Genf</v>
      </c>
      <c r="B74" s="5"/>
      <c r="C74" s="13">
        <v>378234</v>
      </c>
      <c r="D74" s="17">
        <v>366360</v>
      </c>
      <c r="E74" s="10">
        <f t="shared" si="5"/>
        <v>3.2410743530953079E-2</v>
      </c>
      <c r="F74" s="80">
        <v>0.5449763372729004</v>
      </c>
      <c r="G74" s="83">
        <v>2175144</v>
      </c>
      <c r="H74" s="17">
        <v>2025697</v>
      </c>
      <c r="I74" s="10">
        <f t="shared" si="6"/>
        <v>7.3775594276932921E-2</v>
      </c>
      <c r="J74" s="44">
        <v>0.60650227709391702</v>
      </c>
    </row>
    <row r="75" spans="1:10" x14ac:dyDescent="0.2">
      <c r="A75" s="110" t="str">
        <f>VLOOKUP("&lt;Zeilentitel_49&gt;",Uebersetzungen!$B$4:$E$78,Uebersetzungen!$B$2+1,FALSE)</f>
        <v>Graubünden</v>
      </c>
      <c r="B75" s="60"/>
      <c r="C75" s="61">
        <v>586562</v>
      </c>
      <c r="D75" s="62">
        <v>617510</v>
      </c>
      <c r="E75" s="63">
        <f t="shared" si="5"/>
        <v>-5.011740700555456E-2</v>
      </c>
      <c r="F75" s="85">
        <v>-0.11650959822531337</v>
      </c>
      <c r="G75" s="87">
        <v>3450309</v>
      </c>
      <c r="H75" s="62">
        <v>3401706</v>
      </c>
      <c r="I75" s="63">
        <f t="shared" si="6"/>
        <v>1.4287830870745477E-2</v>
      </c>
      <c r="J75" s="64">
        <v>8.0597661683334154E-2</v>
      </c>
    </row>
    <row r="76" spans="1:10" x14ac:dyDescent="0.2">
      <c r="A76" s="24" t="str">
        <f>VLOOKUP("&lt;Zeilentitel_50&gt;",Uebersetzungen!$B$4:$E$78,Uebersetzungen!$B$2+1,FALSE)</f>
        <v>Jura &amp; Drei-Seen-Land</v>
      </c>
      <c r="B76" s="5"/>
      <c r="C76" s="13">
        <v>70108</v>
      </c>
      <c r="D76" s="17">
        <v>67680</v>
      </c>
      <c r="E76" s="10">
        <f t="shared" si="5"/>
        <v>3.5874704491725806E-2</v>
      </c>
      <c r="F76" s="80">
        <v>2.3474452554744563E-2</v>
      </c>
      <c r="G76" s="83">
        <v>348696</v>
      </c>
      <c r="H76" s="17">
        <v>342980</v>
      </c>
      <c r="I76" s="10">
        <f t="shared" si="6"/>
        <v>1.6665694792699304E-2</v>
      </c>
      <c r="J76" s="44">
        <v>0.1525540255567821</v>
      </c>
    </row>
    <row r="77" spans="1:10" x14ac:dyDescent="0.2">
      <c r="A77" s="24" t="str">
        <f>VLOOKUP("&lt;Zeilentitel_51&gt;",Uebersetzungen!$B$4:$E$78,Uebersetzungen!$B$2+1,FALSE)</f>
        <v>Luzern / Vierwaldstättersee</v>
      </c>
      <c r="B77" s="5"/>
      <c r="C77" s="13">
        <v>477071</v>
      </c>
      <c r="D77" s="17">
        <v>469418</v>
      </c>
      <c r="E77" s="10">
        <f t="shared" si="5"/>
        <v>1.6303166900289323E-2</v>
      </c>
      <c r="F77" s="80">
        <v>0.18065956627488799</v>
      </c>
      <c r="G77" s="83">
        <v>2339558</v>
      </c>
      <c r="H77" s="17">
        <v>2266096</v>
      </c>
      <c r="I77" s="10">
        <f t="shared" si="6"/>
        <v>3.241786755724374E-2</v>
      </c>
      <c r="J77" s="44">
        <v>0.29895226925416507</v>
      </c>
    </row>
    <row r="78" spans="1:10" x14ac:dyDescent="0.2">
      <c r="A78" s="24" t="str">
        <f>VLOOKUP("&lt;Zeilentitel_52&gt;",Uebersetzungen!$B$4:$E$78,Uebersetzungen!$B$2+1,FALSE)</f>
        <v>Ostschweiz</v>
      </c>
      <c r="B78" s="5"/>
      <c r="C78" s="13">
        <v>223565</v>
      </c>
      <c r="D78" s="17">
        <v>219703</v>
      </c>
      <c r="E78" s="10">
        <f t="shared" si="5"/>
        <v>1.7578276127317327E-2</v>
      </c>
      <c r="F78" s="80">
        <v>1.8292971767552402E-2</v>
      </c>
      <c r="G78" s="83">
        <v>1146430</v>
      </c>
      <c r="H78" s="17">
        <v>1152669</v>
      </c>
      <c r="I78" s="10">
        <f t="shared" si="6"/>
        <v>-5.4126553242951347E-3</v>
      </c>
      <c r="J78" s="44">
        <v>0.13312014416263684</v>
      </c>
    </row>
    <row r="79" spans="1:10" x14ac:dyDescent="0.2">
      <c r="A79" s="24" t="str">
        <f>VLOOKUP("&lt;Zeilentitel_53&gt;",Uebersetzungen!$B$4:$E$78,Uebersetzungen!$B$2+1,FALSE)</f>
        <v>Tessin</v>
      </c>
      <c r="B79" s="5"/>
      <c r="C79" s="13">
        <v>347880</v>
      </c>
      <c r="D79" s="17">
        <v>359185</v>
      </c>
      <c r="E79" s="10">
        <f t="shared" si="5"/>
        <v>-3.1474031487951915E-2</v>
      </c>
      <c r="F79" s="80">
        <v>-8.7552280568493623E-2</v>
      </c>
      <c r="G79" s="83">
        <v>1362900</v>
      </c>
      <c r="H79" s="17">
        <v>1428461</v>
      </c>
      <c r="I79" s="10">
        <f t="shared" si="6"/>
        <v>-4.5896247779953381E-2</v>
      </c>
      <c r="J79" s="44">
        <v>7.2338442396262526E-3</v>
      </c>
    </row>
    <row r="80" spans="1:10" x14ac:dyDescent="0.2">
      <c r="A80" s="24" t="str">
        <f>VLOOKUP("&lt;Zeilentitel_54&gt;",Uebersetzungen!$B$4:$E$78,Uebersetzungen!$B$2+1,FALSE)</f>
        <v>Waadt</v>
      </c>
      <c r="B80" s="5"/>
      <c r="C80" s="13">
        <v>337032</v>
      </c>
      <c r="D80" s="17">
        <v>340323</v>
      </c>
      <c r="E80" s="10">
        <f t="shared" si="5"/>
        <v>-9.6702250509075327E-3</v>
      </c>
      <c r="F80" s="80">
        <v>0.13741811029680751</v>
      </c>
      <c r="G80" s="83">
        <v>1688497</v>
      </c>
      <c r="H80" s="17">
        <v>1680970</v>
      </c>
      <c r="I80" s="10">
        <f t="shared" si="6"/>
        <v>4.47777176273223E-3</v>
      </c>
      <c r="J80" s="44">
        <v>0.23804661486585355</v>
      </c>
    </row>
    <row r="81" spans="1:10" x14ac:dyDescent="0.2">
      <c r="A81" s="24" t="str">
        <f>VLOOKUP("&lt;Zeilentitel_55&gt;",Uebersetzungen!$B$4:$E$78,Uebersetzungen!$B$2+1,FALSE)</f>
        <v>Wallis</v>
      </c>
      <c r="B81" s="5"/>
      <c r="C81" s="13">
        <v>476336</v>
      </c>
      <c r="D81" s="17">
        <v>516801</v>
      </c>
      <c r="E81" s="33">
        <f t="shared" si="5"/>
        <v>-7.8298997099463863E-2</v>
      </c>
      <c r="F81" s="80">
        <v>-9.6264600824175206E-3</v>
      </c>
      <c r="G81" s="83">
        <v>2745997</v>
      </c>
      <c r="H81" s="17">
        <v>2785165</v>
      </c>
      <c r="I81" s="33">
        <f t="shared" si="6"/>
        <v>-1.4063080643337056E-2</v>
      </c>
      <c r="J81" s="44">
        <v>0.16018084306961033</v>
      </c>
    </row>
    <row r="82" spans="1:10" x14ac:dyDescent="0.2">
      <c r="A82" s="24" t="str">
        <f>VLOOKUP("&lt;Zeilentitel_56&gt;",Uebersetzungen!$B$4:$E$78,Uebersetzungen!$B$2+1,FALSE)</f>
        <v>Zürich Region</v>
      </c>
      <c r="B82" s="7"/>
      <c r="C82" s="14">
        <v>752146</v>
      </c>
      <c r="D82" s="18">
        <v>701042</v>
      </c>
      <c r="E82" s="43">
        <f t="shared" si="5"/>
        <v>7.2897201594198435E-2</v>
      </c>
      <c r="F82" s="11">
        <v>0.49436641824998362</v>
      </c>
      <c r="G82" s="84">
        <v>4095899</v>
      </c>
      <c r="H82" s="18">
        <v>3905862</v>
      </c>
      <c r="I82" s="43">
        <f t="shared" si="6"/>
        <v>4.8654304734780718E-2</v>
      </c>
      <c r="J82" s="48">
        <v>0.53705120262962303</v>
      </c>
    </row>
    <row r="83" spans="1:10" ht="13.5" thickBot="1" x14ac:dyDescent="0.25">
      <c r="A83" s="71" t="str">
        <f>VLOOKUP("&lt;Zeilentitel_57&gt;",Uebersetzungen!$B$4:$E$78,Uebersetzungen!$B$2+1,FALSE)</f>
        <v>Schweiz</v>
      </c>
      <c r="B83" s="39"/>
      <c r="C83" s="30">
        <v>4778877</v>
      </c>
      <c r="D83" s="40">
        <v>4751375</v>
      </c>
      <c r="E83" s="41">
        <f t="shared" si="5"/>
        <v>5.7882191997054022E-3</v>
      </c>
      <c r="F83" s="86">
        <v>0.14255274801408513</v>
      </c>
      <c r="G83" s="79">
        <v>24911017</v>
      </c>
      <c r="H83" s="40">
        <v>24342157</v>
      </c>
      <c r="I83" s="41">
        <f t="shared" si="6"/>
        <v>2.3369334114474727E-2</v>
      </c>
      <c r="J83" s="45">
        <v>0.27320608293506776</v>
      </c>
    </row>
    <row r="84" spans="1:10" x14ac:dyDescent="0.2">
      <c r="A84" s="34"/>
      <c r="B84" s="35"/>
      <c r="C84" s="29"/>
      <c r="D84" s="36"/>
      <c r="E84" s="37"/>
      <c r="F84" s="38"/>
    </row>
    <row r="85" spans="1:10" x14ac:dyDescent="0.2">
      <c r="A85" s="4" t="str">
        <f>VLOOKUP("&lt;Quelle_1&gt;",Uebersetzungen!$B$4:$E$86,Uebersetzungen!$B$2+1,FALSE)</f>
        <v>Quelle: BFS (HESTA)</v>
      </c>
    </row>
    <row r="86" spans="1:10" ht="12.75" customHeight="1" x14ac:dyDescent="0.2">
      <c r="A86" s="4" t="str">
        <f>VLOOKUP("&lt;T7Aktualisierung&gt;",Uebersetzungen!$B$4:$E$304,Uebersetzungen!$B$2+1,FALSE)</f>
        <v>Letztmals aktualisiert am: 05.09.2024</v>
      </c>
    </row>
    <row r="87" spans="1:10" x14ac:dyDescent="0.2">
      <c r="A87" s="4" t="str">
        <f>VLOOKUP("&lt;Legende_2&gt;",Uebersetzungen!$B$4:$E$86,Uebersetzungen!$B$2+1,FALSE)</f>
        <v>Kontakt: Luzius Stricker, 081 257 23 74, luzius.stricker@awt.gr.ch</v>
      </c>
    </row>
    <row r="88" spans="1:10" x14ac:dyDescent="0.2">
      <c r="A88" s="31" t="str">
        <f>VLOOKUP("&lt;T7Legende_3&gt;",Uebersetzungen!$B$4:$E$304,Uebersetzungen!$B$2+1,FALSE)</f>
        <v>Daten des August 2024 erscheinen am 4. Oktober 2024.</v>
      </c>
    </row>
    <row r="90" spans="1:10" x14ac:dyDescent="0.2">
      <c r="A90" s="4" t="s">
        <v>55</v>
      </c>
    </row>
  </sheetData>
  <sheetProtection sheet="1" objects="1" scenarios="1"/>
  <mergeCells count="1">
    <mergeCell ref="A7:D7"/>
  </mergeCells>
  <hyperlinks>
    <hyperlink ref="E63" r:id="rId1"/>
  </hyperlinks>
  <pageMargins left="0.70866141732283472" right="0.70866141732283472" top="0.78740157480314965" bottom="0.78740157480314965" header="0.31496062992125984" footer="0.31496062992125984"/>
  <pageSetup paperSize="9" scale="90" fitToHeight="2" orientation="landscape" r:id="rId2"/>
  <rowBreaks count="2" manualBreakCount="2">
    <brk id="38" max="9" man="1"/>
    <brk id="65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J90"/>
  <sheetViews>
    <sheetView zoomScaleNormal="100" workbookViewId="0">
      <selection activeCell="A64" sqref="A64"/>
    </sheetView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24" t="str">
        <f>VLOOKUP("&lt;Fachbereich&gt;",Uebersetzungen!$B$4:$E$304,Uebersetzungen!$B$2+1,FALSE)</f>
        <v>Daten &amp; Statistik</v>
      </c>
      <c r="B7" s="124"/>
      <c r="C7" s="124"/>
      <c r="D7" s="124"/>
      <c r="E7" s="95"/>
      <c r="F7" s="1"/>
    </row>
    <row r="8" spans="1:10" ht="10.5" customHeight="1" x14ac:dyDescent="0.2"/>
    <row r="9" spans="1:10" ht="18" x14ac:dyDescent="0.25">
      <c r="A9" s="2" t="str">
        <f>VLOOKUP("&lt;T6Titel1&gt;",Uebersetzungen!$B$4:$E$304,Uebersetzungen!$B$2+1,FALSE)</f>
        <v>Hotel- und Kurbetriebe: Logiernächte im Juni 2024, nach Herkunft</v>
      </c>
      <c r="B9" s="3"/>
      <c r="C9" s="3"/>
      <c r="D9" s="3"/>
      <c r="E9" s="3"/>
      <c r="F9" s="3"/>
    </row>
    <row r="10" spans="1:10" s="123" customFormat="1" x14ac:dyDescent="0.2">
      <c r="A10" s="120" t="str">
        <f>VLOOKUP("&lt;Titelprov&gt;",Uebersetzungen!$B$4:$E$304,Uebersetzungen!$B$2+1,FALSE)</f>
        <v>definitive Ergebnisse</v>
      </c>
      <c r="B10" s="121"/>
      <c r="C10" s="122"/>
      <c r="D10" s="122"/>
      <c r="E10" s="122"/>
      <c r="F10" s="122"/>
      <c r="G10" s="122"/>
    </row>
    <row r="11" spans="1:10" ht="13.5" thickBot="1" x14ac:dyDescent="0.25"/>
    <row r="12" spans="1:10" ht="51" x14ac:dyDescent="0.2">
      <c r="A12" s="8"/>
      <c r="B12" s="9"/>
      <c r="C12" s="20" t="str">
        <f>VLOOKUP("&lt;T6SpaltenTitel_1&gt;",Uebersetzungen!$B$4:$E$304,Uebersetzungen!$B$2+1,FALSE)</f>
        <v>Juni 2024</v>
      </c>
      <c r="D12" s="21" t="str">
        <f>VLOOKUP("&lt;T6SpaltenTitel_2&gt;",Uebersetzungen!$B$4:$E$304,Uebersetzungen!$B$2+1,FALSE)</f>
        <v>Juni 2023</v>
      </c>
      <c r="E12" s="22" t="str">
        <f>VLOOKUP("&lt;SpaltenTitel_3&gt;",Uebersetzungen!$B$4:$E$304,Uebersetzungen!$B$2+1,FALSE)</f>
        <v>Veränderung 24/23 in %</v>
      </c>
      <c r="F12" s="22" t="str">
        <f>VLOOKUP("&lt;SpaltenTitel_4&gt;",Uebersetzungen!$B$4:$E$304,Uebersetzungen!$B$2+1,FALSE)</f>
        <v>Veränderung zum
5-Jahresmittel 
in %</v>
      </c>
      <c r="G12" s="75" t="str">
        <f>VLOOKUP("&lt;T6SpaltenTitel_5&gt;",Uebersetzungen!$B$4:$E$304,Uebersetzungen!$B$2+1,FALSE)</f>
        <v>Januar-Juni 24</v>
      </c>
      <c r="H12" s="22" t="str">
        <f>VLOOKUP("&lt;T6SpaltenTitel_6&gt;",Uebersetzungen!$B$4:$E$304,Uebersetzungen!$B$2+1,FALSE)</f>
        <v>Januar-Juni 23</v>
      </c>
      <c r="I12" s="22" t="str">
        <f>VLOOKUP("&lt;SpaltenTitel_7&gt;",Uebersetzungen!$B$4:$E$304,Uebersetzungen!$B$2+1,FALSE)</f>
        <v>Veränderung 24/23 in %</v>
      </c>
      <c r="J12" s="23" t="str">
        <f>VLOOKUP("&lt;SpaltenTitel_8&gt;",Uebersetzungen!$B$4:$E$304,Uebersetzungen!$B$2+1,FALSE)</f>
        <v>Veränderung zum
5-Jahresmittel 
in %</v>
      </c>
    </row>
    <row r="13" spans="1:10" x14ac:dyDescent="0.2">
      <c r="A13" s="24" t="str">
        <f>VLOOKUP("&lt;Zeilentitel_1&gt;",Uebersetzungen!$B$4:$E$78,Uebersetzungen!$B$2+1,FALSE)</f>
        <v>Schweiz</v>
      </c>
      <c r="B13" s="5"/>
      <c r="C13" s="51">
        <v>214735</v>
      </c>
      <c r="D13" s="52">
        <v>218791</v>
      </c>
      <c r="E13" s="53">
        <f t="shared" ref="E13:E36" si="0">C13/D13-1</f>
        <v>-1.8538239689932401E-2</v>
      </c>
      <c r="F13" s="72">
        <v>-5.1837951208742683E-2</v>
      </c>
      <c r="G13" s="76">
        <v>1782119</v>
      </c>
      <c r="H13" s="52">
        <v>1785021</v>
      </c>
      <c r="I13" s="53">
        <f t="shared" ref="I13:I36" si="1">G13/H13-1</f>
        <v>-1.6257511816387682E-3</v>
      </c>
      <c r="J13" s="54">
        <v>4.5031272612978235E-2</v>
      </c>
    </row>
    <row r="14" spans="1:10" x14ac:dyDescent="0.2">
      <c r="A14" s="24" t="str">
        <f>VLOOKUP("&lt;Zeilentitel_2&gt;",Uebersetzungen!$B$4:$E$78,Uebersetzungen!$B$2+1,FALSE)</f>
        <v>Deutschland</v>
      </c>
      <c r="B14" s="5"/>
      <c r="C14" s="51">
        <v>45161</v>
      </c>
      <c r="D14" s="52">
        <v>50952</v>
      </c>
      <c r="E14" s="53">
        <f t="shared" si="0"/>
        <v>-0.11365598995132675</v>
      </c>
      <c r="F14" s="72">
        <v>8.1524446317725374E-2</v>
      </c>
      <c r="G14" s="76">
        <v>438245</v>
      </c>
      <c r="H14" s="52">
        <v>409121</v>
      </c>
      <c r="I14" s="53">
        <f t="shared" si="1"/>
        <v>7.1186763818039234E-2</v>
      </c>
      <c r="J14" s="54">
        <v>0.24028561563584283</v>
      </c>
    </row>
    <row r="15" spans="1:10" x14ac:dyDescent="0.2">
      <c r="A15" s="24" t="str">
        <f>VLOOKUP("&lt;Zeilentitel_3&gt;",Uebersetzungen!$B$4:$E$78,Uebersetzungen!$B$2+1,FALSE)</f>
        <v>Italien</v>
      </c>
      <c r="B15" s="5"/>
      <c r="C15" s="51">
        <v>3483</v>
      </c>
      <c r="D15" s="52">
        <v>4143</v>
      </c>
      <c r="E15" s="53">
        <f t="shared" si="0"/>
        <v>-0.15930485155684282</v>
      </c>
      <c r="F15" s="72">
        <v>6.0790643844794934E-2</v>
      </c>
      <c r="G15" s="76">
        <v>49959</v>
      </c>
      <c r="H15" s="52">
        <v>46773</v>
      </c>
      <c r="I15" s="53">
        <f t="shared" si="1"/>
        <v>6.8116220896671242E-2</v>
      </c>
      <c r="J15" s="54">
        <v>0.35554819943997029</v>
      </c>
    </row>
    <row r="16" spans="1:10" x14ac:dyDescent="0.2">
      <c r="A16" s="24" t="str">
        <f>VLOOKUP("&lt;Zeilentitel_4&gt;",Uebersetzungen!$B$4:$E$78,Uebersetzungen!$B$2+1,FALSE)</f>
        <v>Frankreich</v>
      </c>
      <c r="B16" s="5"/>
      <c r="C16" s="51">
        <v>3982</v>
      </c>
      <c r="D16" s="52">
        <v>4163</v>
      </c>
      <c r="E16" s="53">
        <f t="shared" si="0"/>
        <v>-4.3478260869565188E-2</v>
      </c>
      <c r="F16" s="72">
        <v>0.5979133226324238</v>
      </c>
      <c r="G16" s="76">
        <v>35674</v>
      </c>
      <c r="H16" s="52">
        <v>27742</v>
      </c>
      <c r="I16" s="53">
        <f t="shared" si="1"/>
        <v>0.28592026530170855</v>
      </c>
      <c r="J16" s="54">
        <v>0.3919822695312194</v>
      </c>
    </row>
    <row r="17" spans="1:10" x14ac:dyDescent="0.2">
      <c r="A17" s="24" t="str">
        <f>VLOOKUP("&lt;Zeilentitel_5&gt;",Uebersetzungen!$B$4:$E$78,Uebersetzungen!$B$2+1,FALSE)</f>
        <v>Österreich</v>
      </c>
      <c r="B17" s="5"/>
      <c r="C17" s="51">
        <v>3899</v>
      </c>
      <c r="D17" s="52">
        <v>3868</v>
      </c>
      <c r="E17" s="53">
        <f t="shared" si="0"/>
        <v>8.0144777662873867E-3</v>
      </c>
      <c r="F17" s="72">
        <v>0.36033772939780895</v>
      </c>
      <c r="G17" s="76">
        <v>22022</v>
      </c>
      <c r="H17" s="52">
        <v>21871</v>
      </c>
      <c r="I17" s="53">
        <f t="shared" si="1"/>
        <v>6.9041196104431268E-3</v>
      </c>
      <c r="J17" s="54">
        <v>0.21750572208892183</v>
      </c>
    </row>
    <row r="18" spans="1:10" x14ac:dyDescent="0.2">
      <c r="A18" s="24" t="str">
        <f>VLOOKUP("&lt;Zeilentitel_6&gt;",Uebersetzungen!$B$4:$E$78,Uebersetzungen!$B$2+1,FALSE)</f>
        <v>Niederlande</v>
      </c>
      <c r="B18" s="5"/>
      <c r="C18" s="51">
        <v>7837</v>
      </c>
      <c r="D18" s="52">
        <v>9120</v>
      </c>
      <c r="E18" s="53">
        <f t="shared" si="0"/>
        <v>-0.14067982456140349</v>
      </c>
      <c r="F18" s="72">
        <v>0.42584236955097898</v>
      </c>
      <c r="G18" s="76">
        <v>51595</v>
      </c>
      <c r="H18" s="52">
        <v>53410</v>
      </c>
      <c r="I18" s="53">
        <f t="shared" si="1"/>
        <v>-3.3982400299569337E-2</v>
      </c>
      <c r="J18" s="54">
        <v>0.25284101946462556</v>
      </c>
    </row>
    <row r="19" spans="1:10" x14ac:dyDescent="0.2">
      <c r="A19" s="24" t="str">
        <f>VLOOKUP("&lt;Zeilentitel_7&gt;",Uebersetzungen!$B$4:$E$78,Uebersetzungen!$B$2+1,FALSE)</f>
        <v>Belgien</v>
      </c>
      <c r="B19" s="5"/>
      <c r="C19" s="51">
        <v>10485</v>
      </c>
      <c r="D19" s="52">
        <v>12636</v>
      </c>
      <c r="E19" s="53">
        <f t="shared" si="0"/>
        <v>-0.17022792022792022</v>
      </c>
      <c r="F19" s="72">
        <v>0.26768226332970624</v>
      </c>
      <c r="G19" s="76">
        <v>39978</v>
      </c>
      <c r="H19" s="52">
        <v>43688</v>
      </c>
      <c r="I19" s="53">
        <f t="shared" si="1"/>
        <v>-8.4920344259293179E-2</v>
      </c>
      <c r="J19" s="54">
        <v>0.212689283634246</v>
      </c>
    </row>
    <row r="20" spans="1:10" x14ac:dyDescent="0.2">
      <c r="A20" s="24" t="str">
        <f>VLOOKUP("&lt;Zeilentitel_8&gt;",Uebersetzungen!$B$4:$E$78,Uebersetzungen!$B$2+1,FALSE)</f>
        <v>Luxemburg</v>
      </c>
      <c r="B20" s="5"/>
      <c r="C20" s="51">
        <v>406</v>
      </c>
      <c r="D20" s="52">
        <v>542</v>
      </c>
      <c r="E20" s="53">
        <f t="shared" si="0"/>
        <v>-0.25092250922509229</v>
      </c>
      <c r="F20" s="72">
        <v>3.5186129525752285E-2</v>
      </c>
      <c r="G20" s="76">
        <v>9652</v>
      </c>
      <c r="H20" s="52">
        <v>9701</v>
      </c>
      <c r="I20" s="53">
        <f t="shared" si="1"/>
        <v>-5.0510256674569654E-3</v>
      </c>
      <c r="J20" s="54">
        <v>6.4449247871542603E-2</v>
      </c>
    </row>
    <row r="21" spans="1:10" x14ac:dyDescent="0.2">
      <c r="A21" s="24" t="str">
        <f>VLOOKUP("&lt;Zeilentitel_9&gt;",Uebersetzungen!$B$4:$E$78,Uebersetzungen!$B$2+1,FALSE)</f>
        <v>Vereinigtes Königreich</v>
      </c>
      <c r="B21" s="5"/>
      <c r="C21" s="51">
        <v>10357</v>
      </c>
      <c r="D21" s="52">
        <v>9388</v>
      </c>
      <c r="E21" s="53">
        <f t="shared" si="0"/>
        <v>0.10321687260332335</v>
      </c>
      <c r="F21" s="72">
        <v>0.8784460243760881</v>
      </c>
      <c r="G21" s="76">
        <v>97905</v>
      </c>
      <c r="H21" s="52">
        <v>93534</v>
      </c>
      <c r="I21" s="53">
        <f t="shared" si="1"/>
        <v>4.6731669767143602E-2</v>
      </c>
      <c r="J21" s="54">
        <v>0.38869188784368003</v>
      </c>
    </row>
    <row r="22" spans="1:10" x14ac:dyDescent="0.2">
      <c r="A22" s="24" t="str">
        <f>VLOOKUP("&lt;Zeilentitel_10&gt;",Uebersetzungen!$B$4:$E$78,Uebersetzungen!$B$2+1,FALSE)</f>
        <v>Vereinigte Staaten</v>
      </c>
      <c r="B22" s="5"/>
      <c r="C22" s="51">
        <v>13237</v>
      </c>
      <c r="D22" s="52">
        <v>12101</v>
      </c>
      <c r="E22" s="53">
        <f t="shared" si="0"/>
        <v>9.3876539128997516E-2</v>
      </c>
      <c r="F22" s="72">
        <v>1.0196826365578273</v>
      </c>
      <c r="G22" s="76">
        <v>73833</v>
      </c>
      <c r="H22" s="52">
        <v>62491</v>
      </c>
      <c r="I22" s="53">
        <f t="shared" si="1"/>
        <v>0.18149813573154527</v>
      </c>
      <c r="J22" s="54">
        <v>0.88423513319007951</v>
      </c>
    </row>
    <row r="23" spans="1:10" x14ac:dyDescent="0.2">
      <c r="A23" s="24" t="str">
        <f>VLOOKUP("&lt;Zeilentitel_11&gt;",Uebersetzungen!$B$4:$E$78,Uebersetzungen!$B$2+1,FALSE)</f>
        <v>Polen</v>
      </c>
      <c r="B23" s="5"/>
      <c r="C23" s="51">
        <v>1138</v>
      </c>
      <c r="D23" s="52">
        <v>1577</v>
      </c>
      <c r="E23" s="53">
        <f t="shared" si="0"/>
        <v>-0.27837666455294863</v>
      </c>
      <c r="F23" s="72">
        <v>0.35961768219832746</v>
      </c>
      <c r="G23" s="76">
        <v>20116</v>
      </c>
      <c r="H23" s="52">
        <v>18562</v>
      </c>
      <c r="I23" s="53">
        <f t="shared" si="1"/>
        <v>8.3719426785906714E-2</v>
      </c>
      <c r="J23" s="54">
        <v>-0.37190495519405509</v>
      </c>
    </row>
    <row r="24" spans="1:10" x14ac:dyDescent="0.2">
      <c r="A24" s="24" t="str">
        <f>VLOOKUP("&lt;Zeilentitel_12&gt;",Uebersetzungen!$B$4:$E$78,Uebersetzungen!$B$2+1,FALSE)</f>
        <v>Tschechien</v>
      </c>
      <c r="B24" s="5"/>
      <c r="C24" s="51">
        <v>876</v>
      </c>
      <c r="D24" s="52">
        <v>1347</v>
      </c>
      <c r="E24" s="53">
        <f t="shared" si="0"/>
        <v>-0.34966592427616927</v>
      </c>
      <c r="F24" s="72">
        <v>4.9101796407185594E-2</v>
      </c>
      <c r="G24" s="76">
        <v>11287</v>
      </c>
      <c r="H24" s="52">
        <v>11224</v>
      </c>
      <c r="I24" s="53">
        <f t="shared" si="1"/>
        <v>5.6129722024234052E-3</v>
      </c>
      <c r="J24" s="54">
        <v>0.2498892629340892</v>
      </c>
    </row>
    <row r="25" spans="1:10" x14ac:dyDescent="0.2">
      <c r="A25" s="24" t="str">
        <f>VLOOKUP("&lt;Zeilentitel_13&gt;",Uebersetzungen!$B$4:$E$78,Uebersetzungen!$B$2+1,FALSE)</f>
        <v>Russland</v>
      </c>
      <c r="B25" s="5"/>
      <c r="C25" s="51">
        <v>117</v>
      </c>
      <c r="D25" s="52">
        <v>144</v>
      </c>
      <c r="E25" s="53">
        <f t="shared" si="0"/>
        <v>-0.1875</v>
      </c>
      <c r="F25" s="72">
        <v>-0.4662408759124087</v>
      </c>
      <c r="G25" s="76">
        <v>6190</v>
      </c>
      <c r="H25" s="52">
        <v>6432</v>
      </c>
      <c r="I25" s="53">
        <f t="shared" si="1"/>
        <v>-3.7624378109452739E-2</v>
      </c>
      <c r="J25" s="54">
        <v>-0.56929542576434411</v>
      </c>
    </row>
    <row r="26" spans="1:10" x14ac:dyDescent="0.2">
      <c r="A26" s="24" t="str">
        <f>VLOOKUP("&lt;Zeilentitel_14&gt;",Uebersetzungen!$B$4:$E$78,Uebersetzungen!$B$2+1,FALSE)</f>
        <v>Schweden</v>
      </c>
      <c r="B26" s="5"/>
      <c r="C26" s="51">
        <v>1059</v>
      </c>
      <c r="D26" s="52">
        <v>1166</v>
      </c>
      <c r="E26" s="53">
        <f t="shared" si="0"/>
        <v>-9.176672384219553E-2</v>
      </c>
      <c r="F26" s="72">
        <v>0.42876416621694546</v>
      </c>
      <c r="G26" s="76">
        <v>10195</v>
      </c>
      <c r="H26" s="52">
        <v>10183</v>
      </c>
      <c r="I26" s="53">
        <f t="shared" si="1"/>
        <v>1.1784346459786654E-3</v>
      </c>
      <c r="J26" s="54">
        <v>0.14360389464710366</v>
      </c>
    </row>
    <row r="27" spans="1:10" x14ac:dyDescent="0.2">
      <c r="A27" s="24" t="str">
        <f>VLOOKUP("&lt;Zeilentitel_15&gt;",Uebersetzungen!$B$4:$E$78,Uebersetzungen!$B$2+1,FALSE)</f>
        <v>Norwegen</v>
      </c>
      <c r="B27" s="5"/>
      <c r="C27" s="51">
        <v>575</v>
      </c>
      <c r="D27" s="52">
        <v>809</v>
      </c>
      <c r="E27" s="53">
        <f t="shared" si="0"/>
        <v>-0.28924598269468482</v>
      </c>
      <c r="F27" s="72">
        <v>0.36062470421202075</v>
      </c>
      <c r="G27" s="76">
        <v>3592</v>
      </c>
      <c r="H27" s="52">
        <v>4503</v>
      </c>
      <c r="I27" s="53">
        <f t="shared" si="1"/>
        <v>-0.20230957139684658</v>
      </c>
      <c r="J27" s="54">
        <v>-1.669860388721589E-2</v>
      </c>
    </row>
    <row r="28" spans="1:10" x14ac:dyDescent="0.2">
      <c r="A28" s="24" t="str">
        <f>VLOOKUP("&lt;Zeilentitel_16&gt;",Uebersetzungen!$B$4:$E$78,Uebersetzungen!$B$2+1,FALSE)</f>
        <v>Dänemark</v>
      </c>
      <c r="B28" s="5"/>
      <c r="C28" s="51">
        <v>1221</v>
      </c>
      <c r="D28" s="52">
        <v>784</v>
      </c>
      <c r="E28" s="53">
        <f t="shared" si="0"/>
        <v>0.55739795918367352</v>
      </c>
      <c r="F28" s="72">
        <v>1.9521276595744679</v>
      </c>
      <c r="G28" s="76">
        <v>7194</v>
      </c>
      <c r="H28" s="52">
        <v>6954</v>
      </c>
      <c r="I28" s="53">
        <f t="shared" si="1"/>
        <v>3.45125107851596E-2</v>
      </c>
      <c r="J28" s="54">
        <v>0.11083660171087972</v>
      </c>
    </row>
    <row r="29" spans="1:10" x14ac:dyDescent="0.2">
      <c r="A29" s="24" t="str">
        <f>VLOOKUP("&lt;Zeilentitel_17&gt;",Uebersetzungen!$B$4:$E$78,Uebersetzungen!$B$2+1,FALSE)</f>
        <v>Finnland</v>
      </c>
      <c r="B29" s="5"/>
      <c r="C29" s="51">
        <v>585</v>
      </c>
      <c r="D29" s="52">
        <v>503</v>
      </c>
      <c r="E29" s="53">
        <f t="shared" si="0"/>
        <v>0.16302186878727642</v>
      </c>
      <c r="F29" s="72">
        <v>0.77919708029197077</v>
      </c>
      <c r="G29" s="76">
        <v>4221</v>
      </c>
      <c r="H29" s="52">
        <v>4530</v>
      </c>
      <c r="I29" s="53">
        <f t="shared" si="1"/>
        <v>-6.8211920529801295E-2</v>
      </c>
      <c r="J29" s="54">
        <v>0.15372000218662873</v>
      </c>
    </row>
    <row r="30" spans="1:10" x14ac:dyDescent="0.2">
      <c r="A30" s="24" t="str">
        <f>VLOOKUP("&lt;Zeilentitel_18&gt;",Uebersetzungen!$B$4:$E$78,Uebersetzungen!$B$2+1,FALSE)</f>
        <v>Japan</v>
      </c>
      <c r="B30" s="5"/>
      <c r="C30" s="51">
        <v>2556</v>
      </c>
      <c r="D30" s="52">
        <v>1862</v>
      </c>
      <c r="E30" s="53">
        <f t="shared" si="0"/>
        <v>0.37271750805585402</v>
      </c>
      <c r="F30" s="72">
        <v>0.36465563267485313</v>
      </c>
      <c r="G30" s="76">
        <v>6168</v>
      </c>
      <c r="H30" s="52">
        <v>4621</v>
      </c>
      <c r="I30" s="53">
        <f t="shared" si="1"/>
        <v>0.33477602250595107</v>
      </c>
      <c r="J30" s="54">
        <v>0.55820533548908657</v>
      </c>
    </row>
    <row r="31" spans="1:10" x14ac:dyDescent="0.2">
      <c r="A31" s="24" t="str">
        <f>VLOOKUP("&lt;Zeilentitel_19&gt;",Uebersetzungen!$B$4:$E$78,Uebersetzungen!$B$2+1,FALSE)</f>
        <v>China / Hongkong / Taiwan (Chin. Taipei)</v>
      </c>
      <c r="B31" s="5"/>
      <c r="C31" s="51">
        <v>6818</v>
      </c>
      <c r="D31" s="52">
        <v>4107</v>
      </c>
      <c r="E31" s="53">
        <f t="shared" si="0"/>
        <v>0.6600925249573899</v>
      </c>
      <c r="F31" s="72">
        <v>1.422369075534712</v>
      </c>
      <c r="G31" s="76">
        <v>18825</v>
      </c>
      <c r="H31" s="52">
        <v>11207</v>
      </c>
      <c r="I31" s="53">
        <f t="shared" si="1"/>
        <v>0.67975372535022749</v>
      </c>
      <c r="J31" s="54">
        <v>0.9335058852529734</v>
      </c>
    </row>
    <row r="32" spans="1:10" x14ac:dyDescent="0.2">
      <c r="A32" s="24" t="str">
        <f>VLOOKUP("&lt;Zeilentitel_20&gt;",Uebersetzungen!$B$4:$E$78,Uebersetzungen!$B$2+1,FALSE)</f>
        <v xml:space="preserve">Indien </v>
      </c>
      <c r="B32" s="5"/>
      <c r="C32" s="59">
        <v>2251</v>
      </c>
      <c r="D32" s="52">
        <v>1756</v>
      </c>
      <c r="E32" s="53">
        <f t="shared" si="0"/>
        <v>0.28189066059225509</v>
      </c>
      <c r="F32" s="72">
        <v>1.2591328783621036</v>
      </c>
      <c r="G32" s="77">
        <v>7528</v>
      </c>
      <c r="H32" s="52">
        <v>6097</v>
      </c>
      <c r="I32" s="53">
        <f t="shared" si="1"/>
        <v>0.23470559291454807</v>
      </c>
      <c r="J32" s="54">
        <v>0.62584769556390651</v>
      </c>
    </row>
    <row r="33" spans="1:10" x14ac:dyDescent="0.2">
      <c r="A33" s="24" t="str">
        <f>VLOOKUP("&lt;Zeilentitel_21&gt;",Uebersetzungen!$B$4:$E$78,Uebersetzungen!$B$2+1,FALSE)</f>
        <v>Brasilien</v>
      </c>
      <c r="B33" s="5"/>
      <c r="C33" s="51">
        <v>821</v>
      </c>
      <c r="D33" s="52">
        <v>594</v>
      </c>
      <c r="E33" s="53">
        <f t="shared" si="0"/>
        <v>0.38215488215488214</v>
      </c>
      <c r="F33" s="72">
        <v>1.4419988102320049</v>
      </c>
      <c r="G33" s="76">
        <v>20698</v>
      </c>
      <c r="H33" s="52">
        <v>15508</v>
      </c>
      <c r="I33" s="53">
        <f t="shared" si="1"/>
        <v>0.33466597884962601</v>
      </c>
      <c r="J33" s="54">
        <v>0.86555864008364258</v>
      </c>
    </row>
    <row r="34" spans="1:10" x14ac:dyDescent="0.2">
      <c r="A34" s="24" t="str">
        <f>VLOOKUP("&lt;Zeilentitel_22&gt;",Uebersetzungen!$B$4:$E$78,Uebersetzungen!$B$2+1,FALSE)</f>
        <v>Golfstaaten</v>
      </c>
      <c r="B34" s="5"/>
      <c r="C34" s="59">
        <v>1294</v>
      </c>
      <c r="D34" s="55">
        <v>821</v>
      </c>
      <c r="E34" s="53">
        <f t="shared" si="0"/>
        <v>0.57612667478684521</v>
      </c>
      <c r="F34" s="72">
        <v>1.9209932279909707</v>
      </c>
      <c r="G34" s="77">
        <v>13970</v>
      </c>
      <c r="H34" s="55">
        <v>9646</v>
      </c>
      <c r="I34" s="53">
        <f t="shared" si="1"/>
        <v>0.44826871241965582</v>
      </c>
      <c r="J34" s="54">
        <v>1.4360897011125449</v>
      </c>
    </row>
    <row r="35" spans="1:10" x14ac:dyDescent="0.2">
      <c r="A35" s="24" t="str">
        <f>VLOOKUP("&lt;Zeilentitel_23&gt;",Uebersetzungen!$B$4:$E$78,Uebersetzungen!$B$2+1,FALSE)</f>
        <v>Übrige Herkunftsländer</v>
      </c>
      <c r="B35" s="5"/>
      <c r="C35" s="56">
        <f>C36-SUM(C13:C34)</f>
        <v>13426</v>
      </c>
      <c r="D35" s="57">
        <f>D36-SUM(D13:D34)</f>
        <v>13109</v>
      </c>
      <c r="E35" s="53">
        <f t="shared" si="0"/>
        <v>2.4181859790983307E-2</v>
      </c>
      <c r="F35" s="73" t="s">
        <v>50</v>
      </c>
      <c r="G35" s="78">
        <f>G36-SUM(G13:G34)</f>
        <v>132781</v>
      </c>
      <c r="H35" s="57">
        <f>H36-SUM(H13:H34)</f>
        <v>121377</v>
      </c>
      <c r="I35" s="53">
        <f t="shared" si="1"/>
        <v>9.3955197442678662E-2</v>
      </c>
      <c r="J35" s="58" t="s">
        <v>50</v>
      </c>
    </row>
    <row r="36" spans="1:10" ht="13.5" thickBot="1" x14ac:dyDescent="0.25">
      <c r="A36" s="26" t="str">
        <f>VLOOKUP("&lt;Zeilentitel_24&gt;",Uebersetzungen!$B$4:$E$78,Uebersetzungen!$B$2+1,FALSE)</f>
        <v>Graubünden</v>
      </c>
      <c r="B36" s="25"/>
      <c r="C36" s="30">
        <f>C61</f>
        <v>346319</v>
      </c>
      <c r="D36" s="19">
        <f>D61</f>
        <v>354283</v>
      </c>
      <c r="E36" s="12">
        <f t="shared" si="0"/>
        <v>-2.2479204477776293E-2</v>
      </c>
      <c r="F36" s="74">
        <f>F61</f>
        <v>7.8002912284699244E-2</v>
      </c>
      <c r="G36" s="79">
        <f t="shared" ref="G36:H36" si="2">G61</f>
        <v>2863747</v>
      </c>
      <c r="H36" s="19">
        <f t="shared" si="2"/>
        <v>2784196</v>
      </c>
      <c r="I36" s="12">
        <f t="shared" si="1"/>
        <v>2.8572341889723241E-2</v>
      </c>
      <c r="J36" s="47">
        <f>J61</f>
        <v>0.13234135579489736</v>
      </c>
    </row>
    <row r="37" spans="1:10" x14ac:dyDescent="0.2">
      <c r="C37" s="15"/>
      <c r="D37" s="16"/>
      <c r="E37" s="28"/>
      <c r="F37" s="27"/>
      <c r="I37" s="15"/>
      <c r="J37" s="15"/>
    </row>
    <row r="38" spans="1:10" x14ac:dyDescent="0.2">
      <c r="C38" s="15"/>
    </row>
    <row r="39" spans="1:10" ht="18" x14ac:dyDescent="0.25">
      <c r="A39" s="2" t="str">
        <f>VLOOKUP("&lt;T6Titel2&gt;",Uebersetzungen!$B$4:$E$304,Uebersetzungen!$B$2+1,FALSE)</f>
        <v>Hotel- und Kurbetriebe: Logiernächte im Juni 2024, nach Destinationen</v>
      </c>
      <c r="B39" s="3"/>
      <c r="C39" s="3"/>
      <c r="D39" s="3"/>
      <c r="E39" s="3"/>
      <c r="F39" s="3"/>
    </row>
    <row r="40" spans="1:10" s="123" customFormat="1" x14ac:dyDescent="0.2">
      <c r="A40" s="120" t="str">
        <f>VLOOKUP("&lt;Titelprov&gt;",Uebersetzungen!$B$4:$E$304,Uebersetzungen!$B$2+1,FALSE)</f>
        <v>definitive Ergebnisse</v>
      </c>
      <c r="B40" s="121"/>
      <c r="C40" s="122"/>
      <c r="D40" s="122"/>
      <c r="E40" s="122"/>
      <c r="F40" s="122"/>
      <c r="G40" s="122"/>
    </row>
    <row r="41" spans="1:10" ht="13.5" thickBot="1" x14ac:dyDescent="0.25"/>
    <row r="42" spans="1:10" ht="51" x14ac:dyDescent="0.2">
      <c r="A42" s="8"/>
      <c r="B42" s="9"/>
      <c r="C42" s="20" t="str">
        <f>VLOOKUP("&lt;T6SpaltenTitel_1&gt;",Uebersetzungen!$B$4:$E$304,Uebersetzungen!$B$2+1,FALSE)</f>
        <v>Juni 2024</v>
      </c>
      <c r="D42" s="21" t="str">
        <f>VLOOKUP("&lt;T6SpaltenTitel_2&gt;",Uebersetzungen!$B$4:$E$304,Uebersetzungen!$B$2+1,FALSE)</f>
        <v>Juni 2023</v>
      </c>
      <c r="E42" s="22" t="str">
        <f>VLOOKUP("&lt;SpaltenTitel_3&gt;",Uebersetzungen!$B$4:$E$304,Uebersetzungen!$B$2+1,FALSE)</f>
        <v>Veränderung 24/23 in %</v>
      </c>
      <c r="F42" s="22" t="str">
        <f>VLOOKUP("&lt;SpaltenTitel_4&gt;",Uebersetzungen!$B$4:$E$304,Uebersetzungen!$B$2+1,FALSE)</f>
        <v>Veränderung zum
5-Jahresmittel 
in %</v>
      </c>
      <c r="G42" s="75" t="str">
        <f>VLOOKUP("&lt;T6SpaltenTitel_5&gt;",Uebersetzungen!$B$4:$E$304,Uebersetzungen!$B$2+1,FALSE)</f>
        <v>Januar-Juni 24</v>
      </c>
      <c r="H42" s="22" t="str">
        <f>VLOOKUP("&lt;T6SpaltenTitel_6&gt;",Uebersetzungen!$B$4:$E$304,Uebersetzungen!$B$2+1,FALSE)</f>
        <v>Januar-Juni 23</v>
      </c>
      <c r="I42" s="22" t="str">
        <f>VLOOKUP("&lt;SpaltenTitel_7&gt;",Uebersetzungen!$B$4:$E$304,Uebersetzungen!$B$2+1,FALSE)</f>
        <v>Veränderung 24/23 in %</v>
      </c>
      <c r="J42" s="23" t="str">
        <f>VLOOKUP("&lt;SpaltenTitel_8&gt;",Uebersetzungen!$B$4:$E$304,Uebersetzungen!$B$2+1,FALSE)</f>
        <v>Veränderung zum
5-Jahresmittel 
in %</v>
      </c>
    </row>
    <row r="43" spans="1:10" x14ac:dyDescent="0.2">
      <c r="A43" s="24" t="str">
        <f>VLOOKUP("&lt;Zeilentitel_25&gt;",Uebersetzungen!$B$4:$E$78,Uebersetzungen!$B$2+1,FALSE)</f>
        <v>Arosa</v>
      </c>
      <c r="B43" s="5"/>
      <c r="C43" s="13">
        <v>11343</v>
      </c>
      <c r="D43" s="17">
        <v>12280</v>
      </c>
      <c r="E43" s="10">
        <f>C43/D43-1</f>
        <v>-7.630293159609125E-2</v>
      </c>
      <c r="F43" s="80">
        <v>-2.2374295416544565E-2</v>
      </c>
      <c r="G43" s="83">
        <v>248133</v>
      </c>
      <c r="H43" s="17">
        <v>238136</v>
      </c>
      <c r="I43" s="10">
        <f>G43/H43-1</f>
        <v>4.1980212987536625E-2</v>
      </c>
      <c r="J43" s="44">
        <v>0.16744627214959396</v>
      </c>
    </row>
    <row r="44" spans="1:10" x14ac:dyDescent="0.2">
      <c r="A44" s="24" t="str">
        <f>VLOOKUP("&lt;Zeilentitel_26&gt;",Uebersetzungen!$B$4:$E$78,Uebersetzungen!$B$2+1,FALSE)</f>
        <v>Bergün Filisur</v>
      </c>
      <c r="B44" s="5"/>
      <c r="C44" s="13">
        <v>4848</v>
      </c>
      <c r="D44" s="17">
        <v>6083</v>
      </c>
      <c r="E44" s="10">
        <f t="shared" ref="E44:E61" si="3">C44/D44-1</f>
        <v>-0.20302482327798788</v>
      </c>
      <c r="F44" s="80">
        <v>-5.5228592586818337E-2</v>
      </c>
      <c r="G44" s="83">
        <v>28482</v>
      </c>
      <c r="H44" s="17">
        <v>32421</v>
      </c>
      <c r="I44" s="10">
        <f t="shared" ref="I44:I61" si="4">G44/H44-1</f>
        <v>-0.12149532710280375</v>
      </c>
      <c r="J44" s="44">
        <v>-1.8897301468105976E-2</v>
      </c>
    </row>
    <row r="45" spans="1:10" x14ac:dyDescent="0.2">
      <c r="A45" s="24" t="str">
        <f>VLOOKUP("&lt;Zeilentitel_27&gt;",Uebersetzungen!$B$4:$E$78,Uebersetzungen!$B$2+1,FALSE)</f>
        <v>Bregaglia Engadin</v>
      </c>
      <c r="B45" s="5"/>
      <c r="C45" s="13">
        <v>4226</v>
      </c>
      <c r="D45" s="17">
        <v>3842</v>
      </c>
      <c r="E45" s="10">
        <f t="shared" si="3"/>
        <v>9.9947943779281623E-2</v>
      </c>
      <c r="F45" s="80">
        <v>1.4256228099649437E-2</v>
      </c>
      <c r="G45" s="83">
        <v>22041</v>
      </c>
      <c r="H45" s="17">
        <v>20042</v>
      </c>
      <c r="I45" s="10">
        <f t="shared" si="4"/>
        <v>9.974054485580286E-2</v>
      </c>
      <c r="J45" s="44">
        <v>6.4319860930030393E-2</v>
      </c>
    </row>
    <row r="46" spans="1:10" x14ac:dyDescent="0.2">
      <c r="A46" s="24" t="str">
        <f>VLOOKUP("&lt;Zeilentitel_28&gt;",Uebersetzungen!$B$4:$E$78,Uebersetzungen!$B$2+1,FALSE)</f>
        <v>Bündner Herrschaft</v>
      </c>
      <c r="B46" s="5"/>
      <c r="C46" s="13">
        <v>5687</v>
      </c>
      <c r="D46" s="17">
        <v>5438</v>
      </c>
      <c r="E46" s="10">
        <f t="shared" si="3"/>
        <v>4.5788892975358486E-2</v>
      </c>
      <c r="F46" s="80">
        <v>0.24420232782007512</v>
      </c>
      <c r="G46" s="83">
        <v>27260</v>
      </c>
      <c r="H46" s="17">
        <v>25064</v>
      </c>
      <c r="I46" s="10">
        <f t="shared" si="4"/>
        <v>8.7615703798276323E-2</v>
      </c>
      <c r="J46" s="44">
        <v>0.3539824767051436</v>
      </c>
    </row>
    <row r="47" spans="1:10" x14ac:dyDescent="0.2">
      <c r="A47" s="24" t="str">
        <f>VLOOKUP("&lt;Zeilentitel_29&gt;",Uebersetzungen!$B$4:$E$78,Uebersetzungen!$B$2+1,FALSE)</f>
        <v>Chur</v>
      </c>
      <c r="B47" s="5"/>
      <c r="C47" s="13">
        <v>23173</v>
      </c>
      <c r="D47" s="17">
        <v>22472</v>
      </c>
      <c r="E47" s="10">
        <f t="shared" si="3"/>
        <v>3.1194375222499016E-2</v>
      </c>
      <c r="F47" s="80">
        <v>0.37098873532752741</v>
      </c>
      <c r="G47" s="83">
        <v>120140</v>
      </c>
      <c r="H47" s="17">
        <v>107748</v>
      </c>
      <c r="I47" s="10">
        <f t="shared" si="4"/>
        <v>0.11500909529643244</v>
      </c>
      <c r="J47" s="44">
        <v>0.47993210100099293</v>
      </c>
    </row>
    <row r="48" spans="1:10" x14ac:dyDescent="0.2">
      <c r="A48" s="24" t="str">
        <f>VLOOKUP("&lt;Zeilentitel_30&gt;",Uebersetzungen!$B$4:$E$78,Uebersetzungen!$B$2+1,FALSE)</f>
        <v>Davos Klosters</v>
      </c>
      <c r="B48" s="5"/>
      <c r="C48" s="13">
        <v>59962</v>
      </c>
      <c r="D48" s="17">
        <v>61760</v>
      </c>
      <c r="E48" s="10">
        <f t="shared" si="3"/>
        <v>-2.9112694300518105E-2</v>
      </c>
      <c r="F48" s="80">
        <v>0.11178684664305716</v>
      </c>
      <c r="G48" s="83">
        <v>507309</v>
      </c>
      <c r="H48" s="17">
        <v>493344</v>
      </c>
      <c r="I48" s="10">
        <f t="shared" si="4"/>
        <v>2.8306820393072529E-2</v>
      </c>
      <c r="J48" s="44">
        <v>9.0904516475311947E-2</v>
      </c>
    </row>
    <row r="49" spans="1:10" x14ac:dyDescent="0.2">
      <c r="A49" s="24" t="str">
        <f>VLOOKUP("&lt;Zeilentitel_31&gt;",Uebersetzungen!$B$4:$E$78,Uebersetzungen!$B$2+1,FALSE)</f>
        <v>Disentis Sedrun</v>
      </c>
      <c r="B49" s="5"/>
      <c r="C49" s="13">
        <v>7828</v>
      </c>
      <c r="D49" s="17">
        <v>8601</v>
      </c>
      <c r="E49" s="10">
        <f t="shared" si="3"/>
        <v>-8.9873270549936102E-2</v>
      </c>
      <c r="F49" s="80">
        <v>-1.2389291211425402E-2</v>
      </c>
      <c r="G49" s="83">
        <v>76943</v>
      </c>
      <c r="H49" s="17">
        <v>77536</v>
      </c>
      <c r="I49" s="10">
        <f t="shared" si="4"/>
        <v>-7.6480602558811617E-3</v>
      </c>
      <c r="J49" s="44">
        <v>0.20344157733226154</v>
      </c>
    </row>
    <row r="50" spans="1:10" x14ac:dyDescent="0.2">
      <c r="A50" s="24" t="str">
        <f>VLOOKUP("&lt;Zeilentitel_32&gt;",Uebersetzungen!$B$4:$E$78,Uebersetzungen!$B$2+1,FALSE)</f>
        <v>Scuol Samnaun Val Müstair</v>
      </c>
      <c r="B50" s="5"/>
      <c r="C50" s="13">
        <v>37876</v>
      </c>
      <c r="D50" s="17">
        <v>36674</v>
      </c>
      <c r="E50" s="10">
        <f t="shared" si="3"/>
        <v>3.2775263129192433E-2</v>
      </c>
      <c r="F50" s="80">
        <v>1.0975635796801164E-2</v>
      </c>
      <c r="G50" s="83">
        <v>271632</v>
      </c>
      <c r="H50" s="17">
        <v>265343</v>
      </c>
      <c r="I50" s="10">
        <f t="shared" si="4"/>
        <v>2.3701397813396197E-2</v>
      </c>
      <c r="J50" s="44">
        <v>8.6286409902437633E-2</v>
      </c>
    </row>
    <row r="51" spans="1:10" x14ac:dyDescent="0.2">
      <c r="A51" s="24" t="str">
        <f>VLOOKUP("&lt;Zeilentitel_33&gt;",Uebersetzungen!$B$4:$E$78,Uebersetzungen!$B$2+1,FALSE)</f>
        <v>Engadin St. Moritz</v>
      </c>
      <c r="B51" s="5"/>
      <c r="C51" s="13">
        <v>107940</v>
      </c>
      <c r="D51" s="17">
        <v>107982</v>
      </c>
      <c r="E51" s="10">
        <f t="shared" si="3"/>
        <v>-3.88953714507978E-4</v>
      </c>
      <c r="F51" s="80">
        <v>0.14973626579635813</v>
      </c>
      <c r="G51" s="83">
        <v>852651</v>
      </c>
      <c r="H51" s="17">
        <v>819169</v>
      </c>
      <c r="I51" s="10">
        <f t="shared" si="4"/>
        <v>4.087312874388549E-2</v>
      </c>
      <c r="J51" s="44">
        <v>0.18899712153289183</v>
      </c>
    </row>
    <row r="52" spans="1:10" x14ac:dyDescent="0.2">
      <c r="A52" s="24" t="str">
        <f>VLOOKUP("&lt;Zeilentitel_34&gt;",Uebersetzungen!$B$4:$E$78,Uebersetzungen!$B$2+1,FALSE)</f>
        <v>Flims Laax</v>
      </c>
      <c r="B52" s="5"/>
      <c r="C52" s="13">
        <v>22959</v>
      </c>
      <c r="D52" s="17">
        <v>24596</v>
      </c>
      <c r="E52" s="10">
        <f t="shared" si="3"/>
        <v>-6.6555537485770033E-2</v>
      </c>
      <c r="F52" s="80">
        <v>-7.3352060832082233E-2</v>
      </c>
      <c r="G52" s="83">
        <v>266858</v>
      </c>
      <c r="H52" s="17">
        <v>275305</v>
      </c>
      <c r="I52" s="10">
        <f t="shared" si="4"/>
        <v>-3.0682334138500966E-2</v>
      </c>
      <c r="J52" s="44">
        <v>2.3874775375776203E-3</v>
      </c>
    </row>
    <row r="53" spans="1:10" x14ac:dyDescent="0.2">
      <c r="A53" s="24" t="str">
        <f>VLOOKUP("&lt;Zeilentitel_35&gt;",Uebersetzungen!$B$4:$E$78,Uebersetzungen!$B$2+1,FALSE)</f>
        <v>Lenzerheide</v>
      </c>
      <c r="B53" s="5"/>
      <c r="C53" s="13">
        <v>19256</v>
      </c>
      <c r="D53" s="17">
        <v>21582</v>
      </c>
      <c r="E53" s="10">
        <f t="shared" si="3"/>
        <v>-0.1077749976832546</v>
      </c>
      <c r="F53" s="80">
        <v>-5.3591790193842748E-2</v>
      </c>
      <c r="G53" s="83">
        <v>175007</v>
      </c>
      <c r="H53" s="17">
        <v>171556</v>
      </c>
      <c r="I53" s="10">
        <f t="shared" si="4"/>
        <v>2.0115880528806862E-2</v>
      </c>
      <c r="J53" s="44">
        <v>5.3497471707199651E-2</v>
      </c>
    </row>
    <row r="54" spans="1:10" x14ac:dyDescent="0.2">
      <c r="A54" s="24" t="str">
        <f>VLOOKUP("&lt;Zeilentitel_36&gt;",Uebersetzungen!$B$4:$E$78,Uebersetzungen!$B$2+1,FALSE)</f>
        <v>Prättigau</v>
      </c>
      <c r="B54" s="5"/>
      <c r="C54" s="13">
        <v>5972</v>
      </c>
      <c r="D54" s="17">
        <v>6269</v>
      </c>
      <c r="E54" s="10">
        <f t="shared" si="3"/>
        <v>-4.7375977029829319E-2</v>
      </c>
      <c r="F54" s="80">
        <v>0.11036739550795782</v>
      </c>
      <c r="G54" s="83">
        <v>46594</v>
      </c>
      <c r="H54" s="17">
        <v>48942</v>
      </c>
      <c r="I54" s="10">
        <f t="shared" si="4"/>
        <v>-4.7975154264231157E-2</v>
      </c>
      <c r="J54" s="44">
        <v>0.21056077485866287</v>
      </c>
    </row>
    <row r="55" spans="1:10" x14ac:dyDescent="0.2">
      <c r="A55" s="24" t="str">
        <f>VLOOKUP("&lt;Zeilentitel_37&gt;",Uebersetzungen!$B$4:$E$78,Uebersetzungen!$B$2+1,FALSE)</f>
        <v>San Bernardino, Mesolcina/Calanca</v>
      </c>
      <c r="B55" s="5"/>
      <c r="C55" s="13">
        <v>1606</v>
      </c>
      <c r="D55" s="17">
        <v>2451</v>
      </c>
      <c r="E55" s="10">
        <f t="shared" si="3"/>
        <v>-0.34475724194206447</v>
      </c>
      <c r="F55" s="80">
        <v>-0.25385616056495075</v>
      </c>
      <c r="G55" s="83">
        <v>11122</v>
      </c>
      <c r="H55" s="17">
        <v>10691</v>
      </c>
      <c r="I55" s="10">
        <f t="shared" si="4"/>
        <v>4.0314283041810839E-2</v>
      </c>
      <c r="J55" s="44">
        <v>9.216960936425922E-2</v>
      </c>
    </row>
    <row r="56" spans="1:10" x14ac:dyDescent="0.2">
      <c r="A56" s="24" t="str">
        <f>VLOOKUP("&lt;Zeilentitel_38&gt;",Uebersetzungen!$B$4:$E$78,Uebersetzungen!$B$2+1,FALSE)</f>
        <v>Val Surses</v>
      </c>
      <c r="B56" s="5"/>
      <c r="C56" s="13">
        <v>7155</v>
      </c>
      <c r="D56" s="17">
        <v>5907</v>
      </c>
      <c r="E56" s="10">
        <f t="shared" si="3"/>
        <v>0.21127475876079238</v>
      </c>
      <c r="F56" s="80">
        <v>0.52240520873228635</v>
      </c>
      <c r="G56" s="83">
        <v>52464</v>
      </c>
      <c r="H56" s="17">
        <v>45346</v>
      </c>
      <c r="I56" s="10">
        <f t="shared" si="4"/>
        <v>0.1569708463811581</v>
      </c>
      <c r="J56" s="44">
        <v>0.33734386948763673</v>
      </c>
    </row>
    <row r="57" spans="1:10" x14ac:dyDescent="0.2">
      <c r="A57" s="24" t="str">
        <f>VLOOKUP("&lt;Zeilentitel_39&gt;",Uebersetzungen!$B$4:$E$78,Uebersetzungen!$B$2+1,FALSE)</f>
        <v>Surselva</v>
      </c>
      <c r="B57" s="5"/>
      <c r="C57" s="13">
        <v>6694</v>
      </c>
      <c r="D57" s="17">
        <v>7075</v>
      </c>
      <c r="E57" s="10">
        <f t="shared" si="3"/>
        <v>-5.3851590106007041E-2</v>
      </c>
      <c r="F57" s="80">
        <v>-0.1160469047115994</v>
      </c>
      <c r="G57" s="83">
        <v>53220</v>
      </c>
      <c r="H57" s="17">
        <v>53525</v>
      </c>
      <c r="I57" s="10">
        <f t="shared" si="4"/>
        <v>-5.6982718355907958E-3</v>
      </c>
      <c r="J57" s="44">
        <v>-2.5995417310268665E-2</v>
      </c>
    </row>
    <row r="58" spans="1:10" x14ac:dyDescent="0.2">
      <c r="A58" s="24" t="str">
        <f>VLOOKUP("&lt;Zeilentitel_40&gt;",Uebersetzungen!$B$4:$E$78,Uebersetzungen!$B$2+1,FALSE)</f>
        <v>Valposchiavo</v>
      </c>
      <c r="B58" s="5"/>
      <c r="C58" s="13">
        <v>8568</v>
      </c>
      <c r="D58" s="17">
        <v>9056</v>
      </c>
      <c r="E58" s="10">
        <f t="shared" si="3"/>
        <v>-5.3886925795053053E-2</v>
      </c>
      <c r="F58" s="80">
        <v>5.4315457879063667E-2</v>
      </c>
      <c r="G58" s="83">
        <v>27450</v>
      </c>
      <c r="H58" s="17">
        <v>26473</v>
      </c>
      <c r="I58" s="10">
        <f t="shared" si="4"/>
        <v>3.6905526385373699E-2</v>
      </c>
      <c r="J58" s="44">
        <v>0.23544025779970101</v>
      </c>
    </row>
    <row r="59" spans="1:10" x14ac:dyDescent="0.2">
      <c r="A59" s="24" t="str">
        <f>VLOOKUP("&lt;Zeilentitel_41&gt;",Uebersetzungen!$B$4:$E$78,Uebersetzungen!$B$2+1,FALSE)</f>
        <v>Vals</v>
      </c>
      <c r="B59" s="5"/>
      <c r="C59" s="13">
        <v>3483</v>
      </c>
      <c r="D59" s="17">
        <v>3728</v>
      </c>
      <c r="E59" s="10">
        <f t="shared" si="3"/>
        <v>-6.5718884120171683E-2</v>
      </c>
      <c r="F59" s="80">
        <v>-0.19978863208197406</v>
      </c>
      <c r="G59" s="83">
        <v>33171</v>
      </c>
      <c r="H59" s="17">
        <v>33274</v>
      </c>
      <c r="I59" s="10">
        <f t="shared" si="4"/>
        <v>-3.0955100078139397E-3</v>
      </c>
      <c r="J59" s="44">
        <v>-1.1337827929684074E-2</v>
      </c>
    </row>
    <row r="60" spans="1:10" x14ac:dyDescent="0.2">
      <c r="A60" s="24" t="str">
        <f>VLOOKUP("&lt;Zeilentitel_42&gt;",Uebersetzungen!$B$4:$E$78,Uebersetzungen!$B$2+1,FALSE)</f>
        <v>Viamala</v>
      </c>
      <c r="B60" s="7"/>
      <c r="C60" s="14">
        <v>7743</v>
      </c>
      <c r="D60" s="18">
        <v>8487</v>
      </c>
      <c r="E60" s="11">
        <f t="shared" si="3"/>
        <v>-8.7663485330505497E-2</v>
      </c>
      <c r="F60" s="81">
        <v>-6.4199560078315843E-2</v>
      </c>
      <c r="G60" s="84">
        <v>43270</v>
      </c>
      <c r="H60" s="18">
        <v>40281</v>
      </c>
      <c r="I60" s="11">
        <f t="shared" si="4"/>
        <v>7.4203718874903846E-2</v>
      </c>
      <c r="J60" s="46">
        <v>0.11944159862572845</v>
      </c>
    </row>
    <row r="61" spans="1:10" ht="13.5" thickBot="1" x14ac:dyDescent="0.25">
      <c r="A61" s="26" t="str">
        <f>VLOOKUP("&lt;Zeilentitel_43&gt;",Uebersetzungen!$B$4:$E$78,Uebersetzungen!$B$2+1,FALSE)</f>
        <v>Graubünden</v>
      </c>
      <c r="B61" s="6"/>
      <c r="C61" s="30">
        <v>346319</v>
      </c>
      <c r="D61" s="40">
        <v>354283</v>
      </c>
      <c r="E61" s="65">
        <f t="shared" si="3"/>
        <v>-2.2479204477776293E-2</v>
      </c>
      <c r="F61" s="82">
        <v>7.8002912284699244E-2</v>
      </c>
      <c r="G61" s="79">
        <v>2863747</v>
      </c>
      <c r="H61" s="40">
        <v>2784196</v>
      </c>
      <c r="I61" s="65">
        <f t="shared" si="4"/>
        <v>2.8572341889723241E-2</v>
      </c>
      <c r="J61" s="66">
        <v>0.13234135579489736</v>
      </c>
    </row>
    <row r="63" spans="1:10" x14ac:dyDescent="0.2">
      <c r="A63" s="4" t="str">
        <f>VLOOKUP("&lt;Legende_1&gt;",Uebersetzungen!$B$4:$E$80,Uebersetzungen!$B$2+1,FALSE)</f>
        <v>Aktuelle Zuordnung der politischen Gemeinden zu Destinationen:</v>
      </c>
      <c r="E63" s="67" t="s">
        <v>214</v>
      </c>
      <c r="F63" s="49"/>
    </row>
    <row r="65" spans="1:10" ht="10.5" customHeight="1" x14ac:dyDescent="0.2"/>
    <row r="66" spans="1:10" ht="18" x14ac:dyDescent="0.25">
      <c r="A66" s="2" t="str">
        <f>VLOOKUP("&lt;T6Titel3&gt;",Uebersetzungen!$B$4:$E$304,Uebersetzungen!$B$2+1,FALSE)</f>
        <v>Hotel- und Kurbetriebe: Logiernächte im Juni 2024, nach Schweizer Tourismusregionen</v>
      </c>
      <c r="B66" s="3"/>
      <c r="C66" s="3"/>
      <c r="D66" s="3"/>
      <c r="E66" s="3"/>
      <c r="F66" s="3"/>
    </row>
    <row r="67" spans="1:10" s="123" customFormat="1" x14ac:dyDescent="0.2">
      <c r="A67" s="120" t="str">
        <f>VLOOKUP("&lt;Titelprov&gt;",Uebersetzungen!$B$4:$E$304,Uebersetzungen!$B$2+1,FALSE)</f>
        <v>definitive Ergebnisse</v>
      </c>
      <c r="B67" s="121"/>
      <c r="C67" s="122"/>
      <c r="D67" s="122"/>
      <c r="E67" s="122"/>
      <c r="F67" s="122"/>
      <c r="G67" s="122"/>
    </row>
    <row r="68" spans="1:10" ht="18.75" customHeight="1" thickBot="1" x14ac:dyDescent="0.3">
      <c r="A68" s="50"/>
    </row>
    <row r="69" spans="1:10" ht="51" x14ac:dyDescent="0.2">
      <c r="A69" s="8"/>
      <c r="B69" s="9"/>
      <c r="C69" s="20" t="str">
        <f>VLOOKUP("&lt;T6SpaltenTitel_1&gt;",Uebersetzungen!$B$4:$E$304,Uebersetzungen!$B$2+1,FALSE)</f>
        <v>Juni 2024</v>
      </c>
      <c r="D69" s="21" t="str">
        <f>VLOOKUP("&lt;T6SpaltenTitel_2&gt;",Uebersetzungen!$B$4:$E$304,Uebersetzungen!$B$2+1,FALSE)</f>
        <v>Juni 2023</v>
      </c>
      <c r="E69" s="22" t="str">
        <f>VLOOKUP("&lt;SpaltenTitel_3&gt;",Uebersetzungen!$B$4:$E$304,Uebersetzungen!$B$2+1,FALSE)</f>
        <v>Veränderung 24/23 in %</v>
      </c>
      <c r="F69" s="22" t="str">
        <f>VLOOKUP("&lt;SpaltenTitel_4&gt;",Uebersetzungen!$B$4:$E$304,Uebersetzungen!$B$2+1,FALSE)</f>
        <v>Veränderung zum
5-Jahresmittel 
in %</v>
      </c>
      <c r="G69" s="75" t="str">
        <f>VLOOKUP("&lt;T6SpaltenTitel_5&gt;",Uebersetzungen!$B$4:$E$304,Uebersetzungen!$B$2+1,FALSE)</f>
        <v>Januar-Juni 24</v>
      </c>
      <c r="H69" s="22" t="str">
        <f>VLOOKUP("&lt;T6SpaltenTitel_6&gt;",Uebersetzungen!$B$4:$E$304,Uebersetzungen!$B$2+1,FALSE)</f>
        <v>Januar-Juni 23</v>
      </c>
      <c r="I69" s="22" t="str">
        <f>VLOOKUP("&lt;SpaltenTitel_7&gt;",Uebersetzungen!$B$4:$E$304,Uebersetzungen!$B$2+1,FALSE)</f>
        <v>Veränderung 24/23 in %</v>
      </c>
      <c r="J69" s="23" t="str">
        <f>VLOOKUP("&lt;SpaltenTitel_8&gt;",Uebersetzungen!$B$4:$E$304,Uebersetzungen!$B$2+1,FALSE)</f>
        <v>Veränderung zum
5-Jahresmittel 
in %</v>
      </c>
    </row>
    <row r="70" spans="1:10" x14ac:dyDescent="0.2">
      <c r="A70" s="24" t="str">
        <f>VLOOKUP("&lt;Zeilentitel_44&gt;",Uebersetzungen!$B$4:$E$78,Uebersetzungen!$B$2+1,FALSE)</f>
        <v>Aargau und Solothurn Region</v>
      </c>
      <c r="B70" s="5"/>
      <c r="C70" s="13">
        <v>129853</v>
      </c>
      <c r="D70" s="17">
        <v>117916</v>
      </c>
      <c r="E70" s="10">
        <f>C70/D70-1</f>
        <v>0.10123308117643059</v>
      </c>
      <c r="F70" s="80">
        <v>0.38894771858440791</v>
      </c>
      <c r="G70" s="83">
        <v>576010</v>
      </c>
      <c r="H70" s="17">
        <v>537524</v>
      </c>
      <c r="I70" s="10">
        <f>G70/H70-1</f>
        <v>7.1598663501536652E-2</v>
      </c>
      <c r="J70" s="44">
        <v>0.37475834745459302</v>
      </c>
    </row>
    <row r="71" spans="1:10" x14ac:dyDescent="0.2">
      <c r="A71" s="24" t="str">
        <f>VLOOKUP("&lt;Zeilentitel_45&gt;",Uebersetzungen!$B$4:$E$78,Uebersetzungen!$B$2+1,FALSE)</f>
        <v>Basel Region</v>
      </c>
      <c r="B71" s="5"/>
      <c r="C71" s="13">
        <v>175411</v>
      </c>
      <c r="D71" s="17">
        <v>171759</v>
      </c>
      <c r="E71" s="10">
        <f t="shared" ref="E71:E83" si="5">C71/D71-1</f>
        <v>2.1262350153412601E-2</v>
      </c>
      <c r="F71" s="80">
        <v>0.45482126062226613</v>
      </c>
      <c r="G71" s="83">
        <v>808331</v>
      </c>
      <c r="H71" s="17">
        <v>793377</v>
      </c>
      <c r="I71" s="10">
        <f t="shared" ref="I71:I83" si="6">G71/H71-1</f>
        <v>1.884854237014677E-2</v>
      </c>
      <c r="J71" s="44">
        <v>0.40378818980614128</v>
      </c>
    </row>
    <row r="72" spans="1:10" x14ac:dyDescent="0.2">
      <c r="A72" s="24" t="str">
        <f>VLOOKUP("&lt;Zeilentitel_46&gt;",Uebersetzungen!$B$4:$E$78,Uebersetzungen!$B$2+1,FALSE)</f>
        <v>Bern Region</v>
      </c>
      <c r="B72" s="5"/>
      <c r="C72" s="13">
        <v>658425</v>
      </c>
      <c r="D72" s="17">
        <v>635555</v>
      </c>
      <c r="E72" s="10">
        <f t="shared" si="5"/>
        <v>3.5984297189070924E-2</v>
      </c>
      <c r="F72" s="80">
        <v>0.4358516627900435</v>
      </c>
      <c r="G72" s="83">
        <v>2821005</v>
      </c>
      <c r="H72" s="17">
        <v>2710835</v>
      </c>
      <c r="I72" s="10">
        <f t="shared" si="6"/>
        <v>4.0640614423231192E-2</v>
      </c>
      <c r="J72" s="44">
        <v>0.37042030973873041</v>
      </c>
    </row>
    <row r="73" spans="1:10" x14ac:dyDescent="0.2">
      <c r="A73" s="24" t="str">
        <f>VLOOKUP("&lt;Zeilentitel_47&gt;",Uebersetzungen!$B$4:$E$78,Uebersetzungen!$B$2+1,FALSE)</f>
        <v>Fribourg Region</v>
      </c>
      <c r="B73" s="5"/>
      <c r="C73" s="13">
        <v>46997</v>
      </c>
      <c r="D73" s="17">
        <v>47143</v>
      </c>
      <c r="E73" s="10">
        <f t="shared" si="5"/>
        <v>-3.0969603122414924E-3</v>
      </c>
      <c r="F73" s="80">
        <v>8.9881543185254653E-2</v>
      </c>
      <c r="G73" s="83">
        <v>222298</v>
      </c>
      <c r="H73" s="17">
        <v>217462</v>
      </c>
      <c r="I73" s="10">
        <f t="shared" si="6"/>
        <v>2.2238368082699411E-2</v>
      </c>
      <c r="J73" s="44">
        <v>0.22526437397411403</v>
      </c>
    </row>
    <row r="74" spans="1:10" x14ac:dyDescent="0.2">
      <c r="A74" s="24" t="str">
        <f>VLOOKUP("&lt;Zeilentitel_48&gt;",Uebersetzungen!$B$4:$E$78,Uebersetzungen!$B$2+1,FALSE)</f>
        <v>Genf</v>
      </c>
      <c r="B74" s="5"/>
      <c r="C74" s="13">
        <v>379296</v>
      </c>
      <c r="D74" s="17">
        <v>350149</v>
      </c>
      <c r="E74" s="10">
        <f t="shared" si="5"/>
        <v>8.3241705673870348E-2</v>
      </c>
      <c r="F74" s="80">
        <v>0.70728084413392289</v>
      </c>
      <c r="G74" s="83">
        <v>1796910</v>
      </c>
      <c r="H74" s="17">
        <v>1659337</v>
      </c>
      <c r="I74" s="10">
        <f t="shared" si="6"/>
        <v>8.290841462584142E-2</v>
      </c>
      <c r="J74" s="44">
        <v>0.62008252827036858</v>
      </c>
    </row>
    <row r="75" spans="1:10" x14ac:dyDescent="0.2">
      <c r="A75" s="110" t="str">
        <f>VLOOKUP("&lt;Zeilentitel_49&gt;",Uebersetzungen!$B$4:$E$78,Uebersetzungen!$B$2+1,FALSE)</f>
        <v>Graubünden</v>
      </c>
      <c r="B75" s="60"/>
      <c r="C75" s="61">
        <v>346319</v>
      </c>
      <c r="D75" s="62">
        <v>354283</v>
      </c>
      <c r="E75" s="63">
        <f t="shared" si="5"/>
        <v>-2.2479204477776293E-2</v>
      </c>
      <c r="F75" s="85">
        <v>7.8002912284699244E-2</v>
      </c>
      <c r="G75" s="87">
        <v>2863747</v>
      </c>
      <c r="H75" s="62">
        <v>2784196</v>
      </c>
      <c r="I75" s="63">
        <f t="shared" si="6"/>
        <v>2.8572341889723241E-2</v>
      </c>
      <c r="J75" s="64">
        <v>0.13234135579489736</v>
      </c>
    </row>
    <row r="76" spans="1:10" x14ac:dyDescent="0.2">
      <c r="A76" s="24" t="str">
        <f>VLOOKUP("&lt;Zeilentitel_50&gt;",Uebersetzungen!$B$4:$E$78,Uebersetzungen!$B$2+1,FALSE)</f>
        <v>Jura &amp; Drei-Seen-Land</v>
      </c>
      <c r="B76" s="5"/>
      <c r="C76" s="13">
        <v>67142</v>
      </c>
      <c r="D76" s="17">
        <v>65034</v>
      </c>
      <c r="E76" s="10">
        <f t="shared" si="5"/>
        <v>3.2413814312513445E-2</v>
      </c>
      <c r="F76" s="80">
        <v>0.14383939705752069</v>
      </c>
      <c r="G76" s="83">
        <v>278588</v>
      </c>
      <c r="H76" s="17">
        <v>275300</v>
      </c>
      <c r="I76" s="10">
        <f t="shared" si="6"/>
        <v>1.1943334544133766E-2</v>
      </c>
      <c r="J76" s="44">
        <v>0.19033335896975756</v>
      </c>
    </row>
    <row r="77" spans="1:10" x14ac:dyDescent="0.2">
      <c r="A77" s="24" t="str">
        <f>VLOOKUP("&lt;Zeilentitel_51&gt;",Uebersetzungen!$B$4:$E$78,Uebersetzungen!$B$2+1,FALSE)</f>
        <v>Luzern / Vierwaldstättersee</v>
      </c>
      <c r="B77" s="5"/>
      <c r="C77" s="13">
        <v>437134</v>
      </c>
      <c r="D77" s="17">
        <v>421888</v>
      </c>
      <c r="E77" s="10">
        <f t="shared" si="5"/>
        <v>3.6137553094660158E-2</v>
      </c>
      <c r="F77" s="80">
        <v>0.39344142104031699</v>
      </c>
      <c r="G77" s="83">
        <v>1862487</v>
      </c>
      <c r="H77" s="17">
        <v>1796678</v>
      </c>
      <c r="I77" s="10">
        <f t="shared" si="6"/>
        <v>3.6628154850229189E-2</v>
      </c>
      <c r="J77" s="44">
        <v>0.33316655213880786</v>
      </c>
    </row>
    <row r="78" spans="1:10" x14ac:dyDescent="0.2">
      <c r="A78" s="24" t="str">
        <f>VLOOKUP("&lt;Zeilentitel_52&gt;",Uebersetzungen!$B$4:$E$78,Uebersetzungen!$B$2+1,FALSE)</f>
        <v>Ostschweiz</v>
      </c>
      <c r="B78" s="5"/>
      <c r="C78" s="13">
        <v>199331</v>
      </c>
      <c r="D78" s="17">
        <v>212792</v>
      </c>
      <c r="E78" s="10">
        <f t="shared" si="5"/>
        <v>-6.3258957103650482E-2</v>
      </c>
      <c r="F78" s="80">
        <v>8.3509088537136789E-2</v>
      </c>
      <c r="G78" s="83">
        <v>922865</v>
      </c>
      <c r="H78" s="17">
        <v>932966</v>
      </c>
      <c r="I78" s="10">
        <f t="shared" si="6"/>
        <v>-1.0826761103834404E-2</v>
      </c>
      <c r="J78" s="44">
        <v>0.16494323258319188</v>
      </c>
    </row>
    <row r="79" spans="1:10" x14ac:dyDescent="0.2">
      <c r="A79" s="24" t="str">
        <f>VLOOKUP("&lt;Zeilentitel_53&gt;",Uebersetzungen!$B$4:$E$78,Uebersetzungen!$B$2+1,FALSE)</f>
        <v>Tessin</v>
      </c>
      <c r="B79" s="5"/>
      <c r="C79" s="13">
        <v>273097</v>
      </c>
      <c r="D79" s="17">
        <v>279723</v>
      </c>
      <c r="E79" s="10">
        <f t="shared" si="5"/>
        <v>-2.3687719636926508E-2</v>
      </c>
      <c r="F79" s="80">
        <v>9.2082487697944249E-3</v>
      </c>
      <c r="G79" s="83">
        <v>1015020</v>
      </c>
      <c r="H79" s="17">
        <v>1069276</v>
      </c>
      <c r="I79" s="10">
        <f t="shared" si="6"/>
        <v>-5.0740875134203001E-2</v>
      </c>
      <c r="J79" s="44">
        <v>4.4418715779240614E-2</v>
      </c>
    </row>
    <row r="80" spans="1:10" x14ac:dyDescent="0.2">
      <c r="A80" s="24" t="str">
        <f>VLOOKUP("&lt;Zeilentitel_54&gt;",Uebersetzungen!$B$4:$E$78,Uebersetzungen!$B$2+1,FALSE)</f>
        <v>Waadt</v>
      </c>
      <c r="B80" s="5"/>
      <c r="C80" s="13">
        <v>302739</v>
      </c>
      <c r="D80" s="17">
        <v>292741</v>
      </c>
      <c r="E80" s="10">
        <f t="shared" si="5"/>
        <v>3.415305679764713E-2</v>
      </c>
      <c r="F80" s="80">
        <v>0.3239480844803595</v>
      </c>
      <c r="G80" s="83">
        <v>1351465</v>
      </c>
      <c r="H80" s="17">
        <v>1340647</v>
      </c>
      <c r="I80" s="10">
        <f t="shared" si="6"/>
        <v>8.0692382111025029E-3</v>
      </c>
      <c r="J80" s="44">
        <v>0.26597805918429729</v>
      </c>
    </row>
    <row r="81" spans="1:10" x14ac:dyDescent="0.2">
      <c r="A81" s="24" t="str">
        <f>VLOOKUP("&lt;Zeilentitel_55&gt;",Uebersetzungen!$B$4:$E$78,Uebersetzungen!$B$2+1,FALSE)</f>
        <v>Wallis</v>
      </c>
      <c r="B81" s="5"/>
      <c r="C81" s="13">
        <v>316370</v>
      </c>
      <c r="D81" s="17">
        <v>319593</v>
      </c>
      <c r="E81" s="33">
        <f t="shared" si="5"/>
        <v>-1.0084701479694536E-2</v>
      </c>
      <c r="F81" s="80">
        <v>0.31182738628852835</v>
      </c>
      <c r="G81" s="83">
        <v>2269661</v>
      </c>
      <c r="H81" s="17">
        <v>2268364</v>
      </c>
      <c r="I81" s="33">
        <f t="shared" si="6"/>
        <v>5.717777217413289E-4</v>
      </c>
      <c r="J81" s="44">
        <v>0.20348715560146813</v>
      </c>
    </row>
    <row r="82" spans="1:10" x14ac:dyDescent="0.2">
      <c r="A82" s="24" t="str">
        <f>VLOOKUP("&lt;Zeilentitel_56&gt;",Uebersetzungen!$B$4:$E$78,Uebersetzungen!$B$2+1,FALSE)</f>
        <v>Zürich Region</v>
      </c>
      <c r="B82" s="7"/>
      <c r="C82" s="14">
        <v>745602</v>
      </c>
      <c r="D82" s="18">
        <v>702873</v>
      </c>
      <c r="E82" s="43">
        <f t="shared" si="5"/>
        <v>6.0791921157876239E-2</v>
      </c>
      <c r="F82" s="11">
        <v>0.59458543883917248</v>
      </c>
      <c r="G82" s="84">
        <v>3343753</v>
      </c>
      <c r="H82" s="18">
        <v>3204820</v>
      </c>
      <c r="I82" s="43">
        <f t="shared" si="6"/>
        <v>4.3351264657609523E-2</v>
      </c>
      <c r="J82" s="48">
        <v>0.54699086662038288</v>
      </c>
    </row>
    <row r="83" spans="1:10" ht="13.5" thickBot="1" x14ac:dyDescent="0.25">
      <c r="A83" s="71" t="str">
        <f>VLOOKUP("&lt;Zeilentitel_57&gt;",Uebersetzungen!$B$4:$E$78,Uebersetzungen!$B$2+1,FALSE)</f>
        <v>Schweiz</v>
      </c>
      <c r="B83" s="39"/>
      <c r="C83" s="30">
        <v>4077716</v>
      </c>
      <c r="D83" s="40">
        <v>3971449</v>
      </c>
      <c r="E83" s="41">
        <f t="shared" si="5"/>
        <v>2.6757740059106805E-2</v>
      </c>
      <c r="F83" s="86">
        <v>0.34864604102153929</v>
      </c>
      <c r="G83" s="79">
        <v>20132140</v>
      </c>
      <c r="H83" s="40">
        <v>19590782</v>
      </c>
      <c r="I83" s="41">
        <f t="shared" si="6"/>
        <v>2.7633302233672996E-2</v>
      </c>
      <c r="J83" s="45">
        <v>0.30873078712120594</v>
      </c>
    </row>
    <row r="84" spans="1:10" x14ac:dyDescent="0.2">
      <c r="A84" s="34"/>
      <c r="B84" s="35"/>
      <c r="C84" s="29"/>
      <c r="D84" s="36"/>
      <c r="E84" s="37"/>
      <c r="F84" s="38"/>
    </row>
    <row r="85" spans="1:10" x14ac:dyDescent="0.2">
      <c r="A85" s="4" t="str">
        <f>VLOOKUP("&lt;Quelle_1&gt;",Uebersetzungen!$B$4:$E$86,Uebersetzungen!$B$2+1,FALSE)</f>
        <v>Quelle: BFS (HESTA)</v>
      </c>
    </row>
    <row r="86" spans="1:10" ht="12.75" customHeight="1" x14ac:dyDescent="0.2">
      <c r="A86" s="4" t="str">
        <f>VLOOKUP("&lt;T6Aktualisierung&gt;",Uebersetzungen!$B$4:$E$304,Uebersetzungen!$B$2+1,FALSE)</f>
        <v>Letztmals aktualisiert am: 05.08.2024</v>
      </c>
    </row>
    <row r="87" spans="1:10" x14ac:dyDescent="0.2">
      <c r="A87" s="4" t="str">
        <f>VLOOKUP("&lt;Legende_2&gt;",Uebersetzungen!$B$4:$E$86,Uebersetzungen!$B$2+1,FALSE)</f>
        <v>Kontakt: Luzius Stricker, 081 257 23 74, luzius.stricker@awt.gr.ch</v>
      </c>
    </row>
    <row r="88" spans="1:10" x14ac:dyDescent="0.2">
      <c r="A88" s="31" t="str">
        <f>VLOOKUP("&lt;T6Legende_3&gt;",Uebersetzungen!$B$4:$E$304,Uebersetzungen!$B$2+1,FALSE)</f>
        <v>Daten des Juli 2024 erscheinen am 5. September 2024.</v>
      </c>
    </row>
    <row r="90" spans="1:10" x14ac:dyDescent="0.2">
      <c r="A90" s="4" t="s">
        <v>55</v>
      </c>
    </row>
  </sheetData>
  <sheetProtection sheet="1" objects="1" scenarios="1"/>
  <mergeCells count="1">
    <mergeCell ref="A7:D7"/>
  </mergeCells>
  <hyperlinks>
    <hyperlink ref="E63" r:id="rId1"/>
  </hyperlinks>
  <pageMargins left="0.70866141732283472" right="0.70866141732283472" top="0.78740157480314965" bottom="0.78740157480314965" header="0.31496062992125984" footer="0.31496062992125984"/>
  <pageSetup paperSize="9" scale="90" fitToHeight="2" orientation="landscape" r:id="rId2"/>
  <rowBreaks count="2" manualBreakCount="2">
    <brk id="38" max="9" man="1"/>
    <brk id="65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J90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24" t="str">
        <f>VLOOKUP("&lt;Fachbereich&gt;",Uebersetzungen!$B$4:$E$304,Uebersetzungen!$B$2+1,FALSE)</f>
        <v>Daten &amp; Statistik</v>
      </c>
      <c r="B7" s="124"/>
      <c r="C7" s="124"/>
      <c r="D7" s="124"/>
      <c r="E7" s="95"/>
      <c r="F7" s="1"/>
    </row>
    <row r="8" spans="1:10" ht="10.5" customHeight="1" x14ac:dyDescent="0.2"/>
    <row r="9" spans="1:10" ht="18" x14ac:dyDescent="0.25">
      <c r="A9" s="2" t="str">
        <f>VLOOKUP("&lt;T5Titel1&gt;",Uebersetzungen!$B$4:$E$304,Uebersetzungen!$B$2+1,FALSE)</f>
        <v>Hotel- und Kurbetriebe: Logiernächte im Mai 2024, nach Herkunft</v>
      </c>
      <c r="B9" s="3"/>
      <c r="C9" s="3"/>
      <c r="D9" s="3"/>
      <c r="E9" s="3"/>
      <c r="F9" s="3"/>
    </row>
    <row r="10" spans="1:10" s="123" customFormat="1" x14ac:dyDescent="0.2">
      <c r="A10" s="120" t="str">
        <f>VLOOKUP("&lt;Titelprov&gt;",Uebersetzungen!$B$4:$E$304,Uebersetzungen!$B$2+1,FALSE)</f>
        <v>definitive Ergebnisse</v>
      </c>
      <c r="B10" s="121"/>
      <c r="C10" s="122"/>
      <c r="D10" s="122"/>
      <c r="E10" s="122"/>
      <c r="F10" s="122"/>
      <c r="G10" s="122"/>
    </row>
    <row r="11" spans="1:10" ht="13.5" thickBot="1" x14ac:dyDescent="0.25"/>
    <row r="12" spans="1:10" ht="51" x14ac:dyDescent="0.2">
      <c r="A12" s="8"/>
      <c r="B12" s="9"/>
      <c r="C12" s="20" t="str">
        <f>VLOOKUP("&lt;T5SpaltenTitel_1&gt;",Uebersetzungen!$B$4:$E$304,Uebersetzungen!$B$2+1,FALSE)</f>
        <v>Mai 2024</v>
      </c>
      <c r="D12" s="21" t="str">
        <f>VLOOKUP("&lt;T5SpaltenTitel_2&gt;",Uebersetzungen!$B$4:$E$304,Uebersetzungen!$B$2+1,FALSE)</f>
        <v>Mai 2023</v>
      </c>
      <c r="E12" s="22" t="str">
        <f>VLOOKUP("&lt;SpaltenTitel_3&gt;",Uebersetzungen!$B$4:$E$304,Uebersetzungen!$B$2+1,FALSE)</f>
        <v>Veränderung 24/23 in %</v>
      </c>
      <c r="F12" s="22" t="str">
        <f>VLOOKUP("&lt;SpaltenTitel_4&gt;",Uebersetzungen!$B$4:$E$304,Uebersetzungen!$B$2+1,FALSE)</f>
        <v>Veränderung zum
5-Jahresmittel 
in %</v>
      </c>
      <c r="G12" s="75" t="str">
        <f>VLOOKUP("&lt;T5SpaltenTitel_5&gt;",Uebersetzungen!$B$4:$E$304,Uebersetzungen!$B$2+1,FALSE)</f>
        <v>Januar-Mai 24</v>
      </c>
      <c r="H12" s="22" t="str">
        <f>VLOOKUP("&lt;T5SpaltenTitel_6&gt;",Uebersetzungen!$B$4:$E$304,Uebersetzungen!$B$2+1,FALSE)</f>
        <v>Januar-Mai 23</v>
      </c>
      <c r="I12" s="22" t="str">
        <f>VLOOKUP("&lt;SpaltenTitel_7&gt;",Uebersetzungen!$B$4:$E$304,Uebersetzungen!$B$2+1,FALSE)</f>
        <v>Veränderung 24/23 in %</v>
      </c>
      <c r="J12" s="23" t="str">
        <f>VLOOKUP("&lt;SpaltenTitel_8&gt;",Uebersetzungen!$B$4:$E$304,Uebersetzungen!$B$2+1,FALSE)</f>
        <v>Veränderung zum
5-Jahresmittel 
in %</v>
      </c>
    </row>
    <row r="13" spans="1:10" x14ac:dyDescent="0.2">
      <c r="A13" s="24" t="str">
        <f>VLOOKUP("&lt;Zeilentitel_1&gt;",Uebersetzungen!$B$4:$E$78,Uebersetzungen!$B$2+1,FALSE)</f>
        <v>Schweiz</v>
      </c>
      <c r="B13" s="5"/>
      <c r="C13" s="51">
        <v>102198</v>
      </c>
      <c r="D13" s="52">
        <v>102162</v>
      </c>
      <c r="E13" s="53">
        <f t="shared" ref="E13:E36" si="0">C13/D13-1</f>
        <v>3.5238151171679277E-4</v>
      </c>
      <c r="F13" s="72">
        <v>5.6762273468957236E-2</v>
      </c>
      <c r="G13" s="76">
        <v>1567384</v>
      </c>
      <c r="H13" s="52">
        <v>1566230</v>
      </c>
      <c r="I13" s="53">
        <f t="shared" ref="I13:I36" si="1">G13/H13-1</f>
        <v>7.3680110839413615E-4</v>
      </c>
      <c r="J13" s="54">
        <v>5.9866071700259038E-2</v>
      </c>
    </row>
    <row r="14" spans="1:10" x14ac:dyDescent="0.2">
      <c r="A14" s="24" t="str">
        <f>VLOOKUP("&lt;Zeilentitel_2&gt;",Uebersetzungen!$B$4:$E$78,Uebersetzungen!$B$2+1,FALSE)</f>
        <v>Deutschland</v>
      </c>
      <c r="B14" s="5"/>
      <c r="C14" s="51">
        <v>23249</v>
      </c>
      <c r="D14" s="52">
        <v>19426</v>
      </c>
      <c r="E14" s="53">
        <f t="shared" si="0"/>
        <v>0.1967981056316277</v>
      </c>
      <c r="F14" s="72">
        <v>0.71789794138945129</v>
      </c>
      <c r="G14" s="76">
        <v>393084</v>
      </c>
      <c r="H14" s="52">
        <v>358169</v>
      </c>
      <c r="I14" s="53">
        <f t="shared" si="1"/>
        <v>9.7481914961931482E-2</v>
      </c>
      <c r="J14" s="54">
        <v>0.26156184568458318</v>
      </c>
    </row>
    <row r="15" spans="1:10" x14ac:dyDescent="0.2">
      <c r="A15" s="24" t="str">
        <f>VLOOKUP("&lt;Zeilentitel_3&gt;",Uebersetzungen!$B$4:$E$78,Uebersetzungen!$B$2+1,FALSE)</f>
        <v>Italien</v>
      </c>
      <c r="B15" s="5"/>
      <c r="C15" s="51">
        <v>2393</v>
      </c>
      <c r="D15" s="52">
        <v>2135</v>
      </c>
      <c r="E15" s="53">
        <f t="shared" si="0"/>
        <v>0.12084309133489457</v>
      </c>
      <c r="F15" s="72">
        <v>0.60324266380812008</v>
      </c>
      <c r="G15" s="76">
        <v>46476</v>
      </c>
      <c r="H15" s="52">
        <v>42630</v>
      </c>
      <c r="I15" s="53">
        <f t="shared" si="1"/>
        <v>9.0218156228008439E-2</v>
      </c>
      <c r="J15" s="54">
        <v>0.38437617285936398</v>
      </c>
    </row>
    <row r="16" spans="1:10" x14ac:dyDescent="0.2">
      <c r="A16" s="24" t="str">
        <f>VLOOKUP("&lt;Zeilentitel_4&gt;",Uebersetzungen!$B$4:$E$78,Uebersetzungen!$B$2+1,FALSE)</f>
        <v>Frankreich</v>
      </c>
      <c r="B16" s="5"/>
      <c r="C16" s="51">
        <v>1637</v>
      </c>
      <c r="D16" s="52">
        <v>1888</v>
      </c>
      <c r="E16" s="53">
        <f t="shared" si="0"/>
        <v>-0.13294491525423724</v>
      </c>
      <c r="F16" s="72">
        <v>0.42422133286932295</v>
      </c>
      <c r="G16" s="76">
        <v>31692</v>
      </c>
      <c r="H16" s="52">
        <v>23579</v>
      </c>
      <c r="I16" s="53">
        <f t="shared" si="1"/>
        <v>0.34407735697018538</v>
      </c>
      <c r="J16" s="54">
        <v>0.36980143670957188</v>
      </c>
    </row>
    <row r="17" spans="1:10" x14ac:dyDescent="0.2">
      <c r="A17" s="24" t="str">
        <f>VLOOKUP("&lt;Zeilentitel_5&gt;",Uebersetzungen!$B$4:$E$78,Uebersetzungen!$B$2+1,FALSE)</f>
        <v>Österreich</v>
      </c>
      <c r="B17" s="5"/>
      <c r="C17" s="51">
        <v>2101</v>
      </c>
      <c r="D17" s="52">
        <v>1750</v>
      </c>
      <c r="E17" s="53">
        <f t="shared" si="0"/>
        <v>0.20057142857142862</v>
      </c>
      <c r="F17" s="72">
        <v>0.59480795506300277</v>
      </c>
      <c r="G17" s="76">
        <v>18123</v>
      </c>
      <c r="H17" s="52">
        <v>18003</v>
      </c>
      <c r="I17" s="53">
        <f t="shared" si="1"/>
        <v>6.6655557407098165E-3</v>
      </c>
      <c r="J17" s="54">
        <v>0.19061071109476013</v>
      </c>
    </row>
    <row r="18" spans="1:10" x14ac:dyDescent="0.2">
      <c r="A18" s="24" t="str">
        <f>VLOOKUP("&lt;Zeilentitel_6&gt;",Uebersetzungen!$B$4:$E$78,Uebersetzungen!$B$2+1,FALSE)</f>
        <v>Niederlande</v>
      </c>
      <c r="B18" s="5"/>
      <c r="C18" s="51">
        <v>3192</v>
      </c>
      <c r="D18" s="52">
        <v>4006</v>
      </c>
      <c r="E18" s="53">
        <f t="shared" si="0"/>
        <v>-0.20319520718921613</v>
      </c>
      <c r="F18" s="72">
        <v>0.75288303130148271</v>
      </c>
      <c r="G18" s="76">
        <v>43758</v>
      </c>
      <c r="H18" s="52">
        <v>44290</v>
      </c>
      <c r="I18" s="53">
        <f t="shared" si="1"/>
        <v>-1.2011740799277471E-2</v>
      </c>
      <c r="J18" s="54">
        <v>0.22619514655607231</v>
      </c>
    </row>
    <row r="19" spans="1:10" x14ac:dyDescent="0.2">
      <c r="A19" s="24" t="str">
        <f>VLOOKUP("&lt;Zeilentitel_7&gt;",Uebersetzungen!$B$4:$E$78,Uebersetzungen!$B$2+1,FALSE)</f>
        <v>Belgien</v>
      </c>
      <c r="B19" s="5"/>
      <c r="C19" s="51">
        <v>1423</v>
      </c>
      <c r="D19" s="52">
        <v>1390</v>
      </c>
      <c r="E19" s="53">
        <f t="shared" si="0"/>
        <v>2.3741007194244546E-2</v>
      </c>
      <c r="F19" s="72">
        <v>1.1411375263316281</v>
      </c>
      <c r="G19" s="76">
        <v>29493</v>
      </c>
      <c r="H19" s="52">
        <v>31052</v>
      </c>
      <c r="I19" s="53">
        <f t="shared" si="1"/>
        <v>-5.0206105886899444E-2</v>
      </c>
      <c r="J19" s="54">
        <v>0.194270997837654</v>
      </c>
    </row>
    <row r="20" spans="1:10" x14ac:dyDescent="0.2">
      <c r="A20" s="24" t="str">
        <f>VLOOKUP("&lt;Zeilentitel_8&gt;",Uebersetzungen!$B$4:$E$78,Uebersetzungen!$B$2+1,FALSE)</f>
        <v>Luxemburg</v>
      </c>
      <c r="B20" s="5"/>
      <c r="C20" s="51">
        <v>131</v>
      </c>
      <c r="D20" s="52">
        <v>151</v>
      </c>
      <c r="E20" s="53">
        <f t="shared" si="0"/>
        <v>-0.13245033112582782</v>
      </c>
      <c r="F20" s="72">
        <v>0.77027027027027017</v>
      </c>
      <c r="G20" s="76">
        <v>9246</v>
      </c>
      <c r="H20" s="52">
        <v>9159</v>
      </c>
      <c r="I20" s="53">
        <f t="shared" si="1"/>
        <v>9.4988535866360468E-3</v>
      </c>
      <c r="J20" s="54">
        <v>6.5772183415173879E-2</v>
      </c>
    </row>
    <row r="21" spans="1:10" x14ac:dyDescent="0.2">
      <c r="A21" s="24" t="str">
        <f>VLOOKUP("&lt;Zeilentitel_9&gt;",Uebersetzungen!$B$4:$E$78,Uebersetzungen!$B$2+1,FALSE)</f>
        <v>Vereinigtes Königreich</v>
      </c>
      <c r="B21" s="5"/>
      <c r="C21" s="51">
        <v>7092</v>
      </c>
      <c r="D21" s="52">
        <v>4865</v>
      </c>
      <c r="E21" s="53">
        <f t="shared" si="0"/>
        <v>0.45775950668036991</v>
      </c>
      <c r="F21" s="72">
        <v>1.3765163192815497</v>
      </c>
      <c r="G21" s="76">
        <v>87548</v>
      </c>
      <c r="H21" s="52">
        <v>84146</v>
      </c>
      <c r="I21" s="53">
        <f t="shared" si="1"/>
        <v>4.0429729280060833E-2</v>
      </c>
      <c r="J21" s="54">
        <v>0.34714101064811964</v>
      </c>
    </row>
    <row r="22" spans="1:10" x14ac:dyDescent="0.2">
      <c r="A22" s="24" t="str">
        <f>VLOOKUP("&lt;Zeilentitel_10&gt;",Uebersetzungen!$B$4:$E$78,Uebersetzungen!$B$2+1,FALSE)</f>
        <v>Vereinigte Staaten</v>
      </c>
      <c r="B22" s="5"/>
      <c r="C22" s="51">
        <v>7596</v>
      </c>
      <c r="D22" s="52">
        <v>5989</v>
      </c>
      <c r="E22" s="53">
        <f t="shared" si="0"/>
        <v>0.26832526298213399</v>
      </c>
      <c r="F22" s="72">
        <v>1.1492841378529794</v>
      </c>
      <c r="G22" s="76">
        <v>60596</v>
      </c>
      <c r="H22" s="52">
        <v>50390</v>
      </c>
      <c r="I22" s="53">
        <f t="shared" si="1"/>
        <v>0.20254018654494943</v>
      </c>
      <c r="J22" s="54">
        <v>0.8570299044455203</v>
      </c>
    </row>
    <row r="23" spans="1:10" x14ac:dyDescent="0.2">
      <c r="A23" s="24" t="str">
        <f>VLOOKUP("&lt;Zeilentitel_11&gt;",Uebersetzungen!$B$4:$E$78,Uebersetzungen!$B$2+1,FALSE)</f>
        <v>Polen</v>
      </c>
      <c r="B23" s="5"/>
      <c r="C23" s="51">
        <v>1310</v>
      </c>
      <c r="D23" s="52">
        <v>864</v>
      </c>
      <c r="E23" s="53">
        <f t="shared" si="0"/>
        <v>0.51620370370370372</v>
      </c>
      <c r="F23" s="72">
        <v>2.296426774031203</v>
      </c>
      <c r="G23" s="76">
        <v>18978</v>
      </c>
      <c r="H23" s="52">
        <v>16985</v>
      </c>
      <c r="I23" s="53">
        <f t="shared" si="1"/>
        <v>0.1173388283779806</v>
      </c>
      <c r="J23" s="54">
        <v>-0.39153574863738383</v>
      </c>
    </row>
    <row r="24" spans="1:10" x14ac:dyDescent="0.2">
      <c r="A24" s="24" t="str">
        <f>VLOOKUP("&lt;Zeilentitel_12&gt;",Uebersetzungen!$B$4:$E$78,Uebersetzungen!$B$2+1,FALSE)</f>
        <v>Tschechien</v>
      </c>
      <c r="B24" s="5"/>
      <c r="C24" s="51">
        <v>347</v>
      </c>
      <c r="D24" s="52">
        <v>726</v>
      </c>
      <c r="E24" s="53">
        <f t="shared" si="0"/>
        <v>-0.52203856749311295</v>
      </c>
      <c r="F24" s="72">
        <v>3.7059175134488864E-2</v>
      </c>
      <c r="G24" s="76">
        <v>10411</v>
      </c>
      <c r="H24" s="52">
        <v>9877</v>
      </c>
      <c r="I24" s="53">
        <f t="shared" si="1"/>
        <v>5.4064999493773414E-2</v>
      </c>
      <c r="J24" s="54">
        <v>0.27034677990091982</v>
      </c>
    </row>
    <row r="25" spans="1:10" x14ac:dyDescent="0.2">
      <c r="A25" s="24" t="str">
        <f>VLOOKUP("&lt;Zeilentitel_13&gt;",Uebersetzungen!$B$4:$E$78,Uebersetzungen!$B$2+1,FALSE)</f>
        <v>Russland</v>
      </c>
      <c r="B25" s="5"/>
      <c r="C25" s="51">
        <v>52</v>
      </c>
      <c r="D25" s="52">
        <v>70</v>
      </c>
      <c r="E25" s="53">
        <f t="shared" si="0"/>
        <v>-0.25714285714285712</v>
      </c>
      <c r="F25" s="72">
        <v>-0.32989690721649478</v>
      </c>
      <c r="G25" s="76">
        <v>6073</v>
      </c>
      <c r="H25" s="52">
        <v>6288</v>
      </c>
      <c r="I25" s="53">
        <f t="shared" si="1"/>
        <v>-3.4192111959287508E-2</v>
      </c>
      <c r="J25" s="54">
        <v>-0.57089156762714977</v>
      </c>
    </row>
    <row r="26" spans="1:10" x14ac:dyDescent="0.2">
      <c r="A26" s="24" t="str">
        <f>VLOOKUP("&lt;Zeilentitel_14&gt;",Uebersetzungen!$B$4:$E$78,Uebersetzungen!$B$2+1,FALSE)</f>
        <v>Schweden</v>
      </c>
      <c r="B26" s="5"/>
      <c r="C26" s="51">
        <v>528</v>
      </c>
      <c r="D26" s="52">
        <v>805</v>
      </c>
      <c r="E26" s="53">
        <f t="shared" si="0"/>
        <v>-0.34409937888198761</v>
      </c>
      <c r="F26" s="72">
        <v>0.35107471852610028</v>
      </c>
      <c r="G26" s="76">
        <v>9136</v>
      </c>
      <c r="H26" s="52">
        <v>9017</v>
      </c>
      <c r="I26" s="53">
        <f t="shared" si="1"/>
        <v>1.3197294000221849E-2</v>
      </c>
      <c r="J26" s="54">
        <v>0.1177449349124009</v>
      </c>
    </row>
    <row r="27" spans="1:10" x14ac:dyDescent="0.2">
      <c r="A27" s="24" t="str">
        <f>VLOOKUP("&lt;Zeilentitel_15&gt;",Uebersetzungen!$B$4:$E$78,Uebersetzungen!$B$2+1,FALSE)</f>
        <v>Norwegen</v>
      </c>
      <c r="B27" s="5"/>
      <c r="C27" s="51">
        <v>143</v>
      </c>
      <c r="D27" s="52">
        <v>215</v>
      </c>
      <c r="E27" s="53">
        <f t="shared" si="0"/>
        <v>-0.33488372093023255</v>
      </c>
      <c r="F27" s="72">
        <v>-4.1782729805013297E-3</v>
      </c>
      <c r="G27" s="76">
        <v>3017</v>
      </c>
      <c r="H27" s="52">
        <v>3694</v>
      </c>
      <c r="I27" s="53">
        <f t="shared" si="1"/>
        <v>-0.18327016783974015</v>
      </c>
      <c r="J27" s="54">
        <v>-6.6059930658741828E-2</v>
      </c>
    </row>
    <row r="28" spans="1:10" x14ac:dyDescent="0.2">
      <c r="A28" s="24" t="str">
        <f>VLOOKUP("&lt;Zeilentitel_16&gt;",Uebersetzungen!$B$4:$E$78,Uebersetzungen!$B$2+1,FALSE)</f>
        <v>Dänemark</v>
      </c>
      <c r="B28" s="5"/>
      <c r="C28" s="51">
        <v>736</v>
      </c>
      <c r="D28" s="52">
        <v>673</v>
      </c>
      <c r="E28" s="53">
        <f t="shared" si="0"/>
        <v>9.3610698365527378E-2</v>
      </c>
      <c r="F28" s="72">
        <v>1.6608821402747647</v>
      </c>
      <c r="G28" s="76">
        <v>5973</v>
      </c>
      <c r="H28" s="52">
        <v>6170</v>
      </c>
      <c r="I28" s="53">
        <f t="shared" si="1"/>
        <v>-3.1928687196110195E-2</v>
      </c>
      <c r="J28" s="54">
        <v>-1.4779137663708752E-2</v>
      </c>
    </row>
    <row r="29" spans="1:10" x14ac:dyDescent="0.2">
      <c r="A29" s="24" t="str">
        <f>VLOOKUP("&lt;Zeilentitel_17&gt;",Uebersetzungen!$B$4:$E$78,Uebersetzungen!$B$2+1,FALSE)</f>
        <v>Finnland</v>
      </c>
      <c r="B29" s="5"/>
      <c r="C29" s="51">
        <v>269</v>
      </c>
      <c r="D29" s="52">
        <v>287</v>
      </c>
      <c r="E29" s="53">
        <f t="shared" si="0"/>
        <v>-6.2717770034843245E-2</v>
      </c>
      <c r="F29" s="72">
        <v>1.5377358490566038</v>
      </c>
      <c r="G29" s="76">
        <v>3636</v>
      </c>
      <c r="H29" s="52">
        <v>4027</v>
      </c>
      <c r="I29" s="53">
        <f t="shared" si="1"/>
        <v>-9.7094611373230721E-2</v>
      </c>
      <c r="J29" s="54">
        <v>9.195747492341888E-2</v>
      </c>
    </row>
    <row r="30" spans="1:10" x14ac:dyDescent="0.2">
      <c r="A30" s="24" t="str">
        <f>VLOOKUP("&lt;Zeilentitel_18&gt;",Uebersetzungen!$B$4:$E$78,Uebersetzungen!$B$2+1,FALSE)</f>
        <v>Japan</v>
      </c>
      <c r="B30" s="5"/>
      <c r="C30" s="51">
        <v>978</v>
      </c>
      <c r="D30" s="52">
        <v>691</v>
      </c>
      <c r="E30" s="53">
        <f t="shared" si="0"/>
        <v>0.41534008683068024</v>
      </c>
      <c r="F30" s="72">
        <v>0.90420560747663536</v>
      </c>
      <c r="G30" s="76">
        <v>3612</v>
      </c>
      <c r="H30" s="52">
        <v>2759</v>
      </c>
      <c r="I30" s="53">
        <f t="shared" si="1"/>
        <v>0.30916998912649518</v>
      </c>
      <c r="J30" s="54">
        <v>0.73204181451999606</v>
      </c>
    </row>
    <row r="31" spans="1:10" x14ac:dyDescent="0.2">
      <c r="A31" s="24" t="str">
        <f>VLOOKUP("&lt;Zeilentitel_19&gt;",Uebersetzungen!$B$4:$E$78,Uebersetzungen!$B$2+1,FALSE)</f>
        <v>China / Hongkong / Taiwan (Chin. Taipei)</v>
      </c>
      <c r="B31" s="5"/>
      <c r="C31" s="51">
        <v>4323</v>
      </c>
      <c r="D31" s="52">
        <v>1953</v>
      </c>
      <c r="E31" s="53">
        <f t="shared" si="0"/>
        <v>1.2135176651305684</v>
      </c>
      <c r="F31" s="72">
        <v>1.9468302658486709</v>
      </c>
      <c r="G31" s="76">
        <v>12007</v>
      </c>
      <c r="H31" s="52">
        <v>7100</v>
      </c>
      <c r="I31" s="53">
        <f t="shared" si="1"/>
        <v>0.69112676056338018</v>
      </c>
      <c r="J31" s="54">
        <v>0.7347145168747109</v>
      </c>
    </row>
    <row r="32" spans="1:10" x14ac:dyDescent="0.2">
      <c r="A32" s="24" t="str">
        <f>VLOOKUP("&lt;Zeilentitel_20&gt;",Uebersetzungen!$B$4:$E$78,Uebersetzungen!$B$2+1,FALSE)</f>
        <v xml:space="preserve">Indien </v>
      </c>
      <c r="B32" s="5"/>
      <c r="C32" s="59">
        <v>1557</v>
      </c>
      <c r="D32" s="52">
        <v>1295</v>
      </c>
      <c r="E32" s="53">
        <f t="shared" si="0"/>
        <v>0.20231660231660231</v>
      </c>
      <c r="F32" s="72">
        <v>0.87139423076923084</v>
      </c>
      <c r="G32" s="77">
        <v>5277</v>
      </c>
      <c r="H32" s="52">
        <v>4341</v>
      </c>
      <c r="I32" s="53">
        <f t="shared" si="1"/>
        <v>0.21561852107809254</v>
      </c>
      <c r="J32" s="54">
        <v>0.45219880015410863</v>
      </c>
    </row>
    <row r="33" spans="1:10" x14ac:dyDescent="0.2">
      <c r="A33" s="24" t="str">
        <f>VLOOKUP("&lt;Zeilentitel_21&gt;",Uebersetzungen!$B$4:$E$78,Uebersetzungen!$B$2+1,FALSE)</f>
        <v>Brasilien</v>
      </c>
      <c r="B33" s="5"/>
      <c r="C33" s="51">
        <v>1106</v>
      </c>
      <c r="D33" s="52">
        <v>599</v>
      </c>
      <c r="E33" s="53">
        <f t="shared" si="0"/>
        <v>0.84641068447412349</v>
      </c>
      <c r="F33" s="72">
        <v>2.1190073322053014</v>
      </c>
      <c r="G33" s="76">
        <v>19877</v>
      </c>
      <c r="H33" s="52">
        <v>14914</v>
      </c>
      <c r="I33" s="53">
        <f t="shared" si="1"/>
        <v>0.33277457422555989</v>
      </c>
      <c r="J33" s="54">
        <v>0.84754521963824292</v>
      </c>
    </row>
    <row r="34" spans="1:10" x14ac:dyDescent="0.2">
      <c r="A34" s="24" t="str">
        <f>VLOOKUP("&lt;Zeilentitel_22&gt;",Uebersetzungen!$B$4:$E$78,Uebersetzungen!$B$2+1,FALSE)</f>
        <v>Golfstaaten</v>
      </c>
      <c r="B34" s="5"/>
      <c r="C34" s="59">
        <v>331</v>
      </c>
      <c r="D34" s="55">
        <v>300</v>
      </c>
      <c r="E34" s="53">
        <f t="shared" si="0"/>
        <v>0.10333333333333328</v>
      </c>
      <c r="F34" s="72">
        <v>0.22140221402214033</v>
      </c>
      <c r="G34" s="77">
        <v>12676</v>
      </c>
      <c r="H34" s="55">
        <v>8825</v>
      </c>
      <c r="I34" s="53">
        <f t="shared" si="1"/>
        <v>0.4363739376770539</v>
      </c>
      <c r="J34" s="54">
        <v>1.3954947463905056</v>
      </c>
    </row>
    <row r="35" spans="1:10" x14ac:dyDescent="0.2">
      <c r="A35" s="24" t="str">
        <f>VLOOKUP("&lt;Zeilentitel_23&gt;",Uebersetzungen!$B$4:$E$78,Uebersetzungen!$B$2+1,FALSE)</f>
        <v>Übrige Herkunftsländer</v>
      </c>
      <c r="B35" s="5"/>
      <c r="C35" s="56">
        <f>C36-SUM(C13:C34)</f>
        <v>9630</v>
      </c>
      <c r="D35" s="57">
        <f>D36-SUM(D13:D34)</f>
        <v>8877</v>
      </c>
      <c r="E35" s="53">
        <f t="shared" si="0"/>
        <v>8.4825954714430551E-2</v>
      </c>
      <c r="F35" s="73" t="s">
        <v>50</v>
      </c>
      <c r="G35" s="78">
        <f>G36-SUM(G13:G34)</f>
        <v>119355</v>
      </c>
      <c r="H35" s="57">
        <f>H36-SUM(H13:H34)</f>
        <v>108268</v>
      </c>
      <c r="I35" s="53">
        <f t="shared" si="1"/>
        <v>0.10240329552591709</v>
      </c>
      <c r="J35" s="58" t="s">
        <v>50</v>
      </c>
    </row>
    <row r="36" spans="1:10" ht="13.5" thickBot="1" x14ac:dyDescent="0.25">
      <c r="A36" s="26" t="str">
        <f>VLOOKUP("&lt;Zeilentitel_24&gt;",Uebersetzungen!$B$4:$E$78,Uebersetzungen!$B$2+1,FALSE)</f>
        <v>Graubünden</v>
      </c>
      <c r="B36" s="25"/>
      <c r="C36" s="30">
        <f>C61</f>
        <v>172322</v>
      </c>
      <c r="D36" s="19">
        <f>D61</f>
        <v>161117</v>
      </c>
      <c r="E36" s="12">
        <f t="shared" si="0"/>
        <v>6.9545733845590485E-2</v>
      </c>
      <c r="F36" s="74">
        <f>F61</f>
        <v>0.29023514771793057</v>
      </c>
      <c r="G36" s="79">
        <f t="shared" ref="G36:H36" si="2">G61</f>
        <v>2517428</v>
      </c>
      <c r="H36" s="19">
        <f t="shared" si="2"/>
        <v>2429913</v>
      </c>
      <c r="I36" s="12">
        <f t="shared" si="1"/>
        <v>3.6015692742908945E-2</v>
      </c>
      <c r="J36" s="47">
        <f>J61</f>
        <v>0.14024825012748043</v>
      </c>
    </row>
    <row r="37" spans="1:10" x14ac:dyDescent="0.2">
      <c r="C37" s="15"/>
      <c r="D37" s="16"/>
      <c r="E37" s="28"/>
      <c r="F37" s="27"/>
      <c r="I37" s="15"/>
      <c r="J37" s="15"/>
    </row>
    <row r="38" spans="1:10" x14ac:dyDescent="0.2">
      <c r="C38" s="15"/>
    </row>
    <row r="39" spans="1:10" ht="18" x14ac:dyDescent="0.25">
      <c r="A39" s="2" t="str">
        <f>VLOOKUP("&lt;T5Titel2&gt;",Uebersetzungen!$B$4:$E$304,Uebersetzungen!$B$2+1,FALSE)</f>
        <v>Hotel- und Kurbetriebe: Logiernächte im Mai 2024, nach Destinationen</v>
      </c>
      <c r="B39" s="3"/>
      <c r="C39" s="3"/>
      <c r="D39" s="3"/>
      <c r="E39" s="3"/>
      <c r="F39" s="3"/>
    </row>
    <row r="40" spans="1:10" s="123" customFormat="1" x14ac:dyDescent="0.2">
      <c r="A40" s="120" t="str">
        <f>VLOOKUP("&lt;Titelprov&gt;",Uebersetzungen!$B$4:$E$304,Uebersetzungen!$B$2+1,FALSE)</f>
        <v>definitive Ergebnisse</v>
      </c>
      <c r="B40" s="121"/>
      <c r="C40" s="122"/>
      <c r="D40" s="122"/>
      <c r="E40" s="122"/>
      <c r="F40" s="122"/>
      <c r="G40" s="122"/>
    </row>
    <row r="41" spans="1:10" ht="13.5" thickBot="1" x14ac:dyDescent="0.25"/>
    <row r="42" spans="1:10" ht="51" x14ac:dyDescent="0.2">
      <c r="A42" s="8"/>
      <c r="B42" s="9"/>
      <c r="C42" s="20" t="str">
        <f>VLOOKUP("&lt;T5SpaltenTitel_1&gt;",Uebersetzungen!$B$4:$E$304,Uebersetzungen!$B$2+1,FALSE)</f>
        <v>Mai 2024</v>
      </c>
      <c r="D42" s="21" t="str">
        <f>VLOOKUP("&lt;T5SpaltenTitel_2&gt;",Uebersetzungen!$B$4:$E$304,Uebersetzungen!$B$2+1,FALSE)</f>
        <v>Mai 2023</v>
      </c>
      <c r="E42" s="22" t="str">
        <f>VLOOKUP("&lt;SpaltenTitel_3&gt;",Uebersetzungen!$B$4:$E$304,Uebersetzungen!$B$2+1,FALSE)</f>
        <v>Veränderung 24/23 in %</v>
      </c>
      <c r="F42" s="22" t="str">
        <f>VLOOKUP("&lt;SpaltenTitel_4&gt;",Uebersetzungen!$B$4:$E$304,Uebersetzungen!$B$2+1,FALSE)</f>
        <v>Veränderung zum
5-Jahresmittel 
in %</v>
      </c>
      <c r="G42" s="75" t="str">
        <f>VLOOKUP("&lt;T5SpaltenTitel_5&gt;",Uebersetzungen!$B$4:$E$304,Uebersetzungen!$B$2+1,FALSE)</f>
        <v>Januar-Mai 24</v>
      </c>
      <c r="H42" s="22" t="str">
        <f>VLOOKUP("&lt;T5SpaltenTitel_6&gt;",Uebersetzungen!$B$4:$E$304,Uebersetzungen!$B$2+1,FALSE)</f>
        <v>Januar-Mai 23</v>
      </c>
      <c r="I42" s="22" t="str">
        <f>VLOOKUP("&lt;SpaltenTitel_7&gt;",Uebersetzungen!$B$4:$E$304,Uebersetzungen!$B$2+1,FALSE)</f>
        <v>Veränderung 24/23 in %</v>
      </c>
      <c r="J42" s="23" t="str">
        <f>VLOOKUP("&lt;SpaltenTitel_8&gt;",Uebersetzungen!$B$4:$E$304,Uebersetzungen!$B$2+1,FALSE)</f>
        <v>Veränderung zum
5-Jahresmittel 
in %</v>
      </c>
    </row>
    <row r="43" spans="1:10" x14ac:dyDescent="0.2">
      <c r="A43" s="24" t="str">
        <f>VLOOKUP("&lt;Zeilentitel_25&gt;",Uebersetzungen!$B$4:$E$78,Uebersetzungen!$B$2+1,FALSE)</f>
        <v>Arosa</v>
      </c>
      <c r="B43" s="5"/>
      <c r="C43" s="13">
        <v>1117</v>
      </c>
      <c r="D43" s="17">
        <v>790</v>
      </c>
      <c r="E43" s="10">
        <f>C43/D43-1</f>
        <v>0.41392405063291138</v>
      </c>
      <c r="F43" s="80">
        <v>0.42583609905539954</v>
      </c>
      <c r="G43" s="83">
        <v>236790</v>
      </c>
      <c r="H43" s="17">
        <v>225856</v>
      </c>
      <c r="I43" s="10">
        <f>G43/H43-1</f>
        <v>4.8411377160668678E-2</v>
      </c>
      <c r="J43" s="44">
        <v>0.17840677453259879</v>
      </c>
    </row>
    <row r="44" spans="1:10" x14ac:dyDescent="0.2">
      <c r="A44" s="24" t="str">
        <f>VLOOKUP("&lt;Zeilentitel_26&gt;",Uebersetzungen!$B$4:$E$78,Uebersetzungen!$B$2+1,FALSE)</f>
        <v>Bergün Filisur</v>
      </c>
      <c r="B44" s="5"/>
      <c r="C44" s="13">
        <v>3089</v>
      </c>
      <c r="D44" s="17">
        <v>3540</v>
      </c>
      <c r="E44" s="10">
        <f t="shared" ref="E44:E61" si="3">C44/D44-1</f>
        <v>-0.12740112994350283</v>
      </c>
      <c r="F44" s="80">
        <v>0.15684218410605966</v>
      </c>
      <c r="G44" s="83">
        <v>23634</v>
      </c>
      <c r="H44" s="17">
        <v>26338</v>
      </c>
      <c r="I44" s="10">
        <f t="shared" ref="I44:I61" si="4">G44/H44-1</f>
        <v>-0.10266535044422509</v>
      </c>
      <c r="J44" s="44">
        <v>-1.109660574412541E-2</v>
      </c>
    </row>
    <row r="45" spans="1:10" x14ac:dyDescent="0.2">
      <c r="A45" s="24" t="str">
        <f>VLOOKUP("&lt;Zeilentitel_27&gt;",Uebersetzungen!$B$4:$E$78,Uebersetzungen!$B$2+1,FALSE)</f>
        <v>Bregaglia Engadin</v>
      </c>
      <c r="B45" s="5"/>
      <c r="C45" s="13">
        <v>1341</v>
      </c>
      <c r="D45" s="17">
        <v>1119</v>
      </c>
      <c r="E45" s="10">
        <f t="shared" si="3"/>
        <v>0.19839142091152806</v>
      </c>
      <c r="F45" s="80">
        <v>0.1089976844194509</v>
      </c>
      <c r="G45" s="83">
        <v>17815</v>
      </c>
      <c r="H45" s="17">
        <v>16200</v>
      </c>
      <c r="I45" s="10">
        <f t="shared" si="4"/>
        <v>9.9691358024691423E-2</v>
      </c>
      <c r="J45" s="44">
        <v>7.6929587000677202E-2</v>
      </c>
    </row>
    <row r="46" spans="1:10" x14ac:dyDescent="0.2">
      <c r="A46" s="24" t="str">
        <f>VLOOKUP("&lt;Zeilentitel_28&gt;",Uebersetzungen!$B$4:$E$78,Uebersetzungen!$B$2+1,FALSE)</f>
        <v>Bündner Herrschaft</v>
      </c>
      <c r="B46" s="5"/>
      <c r="C46" s="13">
        <v>5158</v>
      </c>
      <c r="D46" s="17">
        <v>5144</v>
      </c>
      <c r="E46" s="10">
        <f t="shared" si="3"/>
        <v>2.7216174183515296E-3</v>
      </c>
      <c r="F46" s="80">
        <v>0.3263731742439826</v>
      </c>
      <c r="G46" s="83">
        <v>21573</v>
      </c>
      <c r="H46" s="17">
        <v>19626</v>
      </c>
      <c r="I46" s="10">
        <f t="shared" si="4"/>
        <v>9.9205136044023146E-2</v>
      </c>
      <c r="J46" s="44">
        <v>0.38622577494473842</v>
      </c>
    </row>
    <row r="47" spans="1:10" x14ac:dyDescent="0.2">
      <c r="A47" s="24" t="str">
        <f>VLOOKUP("&lt;Zeilentitel_29&gt;",Uebersetzungen!$B$4:$E$78,Uebersetzungen!$B$2+1,FALSE)</f>
        <v>Chur</v>
      </c>
      <c r="B47" s="5"/>
      <c r="C47" s="13">
        <v>23061</v>
      </c>
      <c r="D47" s="17">
        <v>20826</v>
      </c>
      <c r="E47" s="10">
        <f t="shared" si="3"/>
        <v>0.10731777585710178</v>
      </c>
      <c r="F47" s="80">
        <v>0.63460447972781409</v>
      </c>
      <c r="G47" s="83">
        <v>96967</v>
      </c>
      <c r="H47" s="17">
        <v>85276</v>
      </c>
      <c r="I47" s="10">
        <f t="shared" si="4"/>
        <v>0.13709601763684987</v>
      </c>
      <c r="J47" s="44">
        <v>0.50858005196259937</v>
      </c>
    </row>
    <row r="48" spans="1:10" x14ac:dyDescent="0.2">
      <c r="A48" s="24" t="str">
        <f>VLOOKUP("&lt;Zeilentitel_30&gt;",Uebersetzungen!$B$4:$E$78,Uebersetzungen!$B$2+1,FALSE)</f>
        <v>Davos Klosters</v>
      </c>
      <c r="B48" s="5"/>
      <c r="C48" s="13">
        <v>26114</v>
      </c>
      <c r="D48" s="17">
        <v>24747</v>
      </c>
      <c r="E48" s="10">
        <f t="shared" si="3"/>
        <v>5.5239018870974155E-2</v>
      </c>
      <c r="F48" s="80">
        <v>0.19245276126286548</v>
      </c>
      <c r="G48" s="83">
        <v>447347</v>
      </c>
      <c r="H48" s="17">
        <v>431584</v>
      </c>
      <c r="I48" s="10">
        <f t="shared" si="4"/>
        <v>3.6523596796915525E-2</v>
      </c>
      <c r="J48" s="44">
        <v>8.8164938061630282E-2</v>
      </c>
    </row>
    <row r="49" spans="1:10" x14ac:dyDescent="0.2">
      <c r="A49" s="24" t="str">
        <f>VLOOKUP("&lt;Zeilentitel_31&gt;",Uebersetzungen!$B$4:$E$78,Uebersetzungen!$B$2+1,FALSE)</f>
        <v>Disentis Sedrun</v>
      </c>
      <c r="B49" s="5"/>
      <c r="C49" s="13">
        <v>4027</v>
      </c>
      <c r="D49" s="17">
        <v>3395</v>
      </c>
      <c r="E49" s="10">
        <f t="shared" si="3"/>
        <v>0.18615611192930781</v>
      </c>
      <c r="F49" s="80">
        <v>9.8892102821590333E-2</v>
      </c>
      <c r="G49" s="83">
        <v>69115</v>
      </c>
      <c r="H49" s="17">
        <v>68935</v>
      </c>
      <c r="I49" s="10">
        <f t="shared" si="4"/>
        <v>2.6111554362806544E-3</v>
      </c>
      <c r="J49" s="44">
        <v>0.23398488830486208</v>
      </c>
    </row>
    <row r="50" spans="1:10" x14ac:dyDescent="0.2">
      <c r="A50" s="24" t="str">
        <f>VLOOKUP("&lt;Zeilentitel_32&gt;",Uebersetzungen!$B$4:$E$78,Uebersetzungen!$B$2+1,FALSE)</f>
        <v>Scuol Samnaun Val Müstair</v>
      </c>
      <c r="B50" s="5"/>
      <c r="C50" s="13">
        <v>12721</v>
      </c>
      <c r="D50" s="17">
        <v>13796</v>
      </c>
      <c r="E50" s="10">
        <f t="shared" si="3"/>
        <v>-7.7921136561322157E-2</v>
      </c>
      <c r="F50" s="80">
        <v>2.3608741832694902E-2</v>
      </c>
      <c r="G50" s="83">
        <v>233756</v>
      </c>
      <c r="H50" s="17">
        <v>228669</v>
      </c>
      <c r="I50" s="10">
        <f t="shared" si="4"/>
        <v>2.2246128683818034E-2</v>
      </c>
      <c r="J50" s="44">
        <v>9.9558400457592677E-2</v>
      </c>
    </row>
    <row r="51" spans="1:10" x14ac:dyDescent="0.2">
      <c r="A51" s="24" t="str">
        <f>VLOOKUP("&lt;Zeilentitel_33&gt;",Uebersetzungen!$B$4:$E$78,Uebersetzungen!$B$2+1,FALSE)</f>
        <v>Engadin St. Moritz</v>
      </c>
      <c r="B51" s="5"/>
      <c r="C51" s="13">
        <v>39327</v>
      </c>
      <c r="D51" s="17">
        <v>36468</v>
      </c>
      <c r="E51" s="10">
        <f t="shared" si="3"/>
        <v>7.8397499177361052E-2</v>
      </c>
      <c r="F51" s="80">
        <v>0.50970847697067878</v>
      </c>
      <c r="G51" s="83">
        <v>744711</v>
      </c>
      <c r="H51" s="17">
        <v>711187</v>
      </c>
      <c r="I51" s="10">
        <f t="shared" si="4"/>
        <v>4.7138094481479653E-2</v>
      </c>
      <c r="J51" s="44">
        <v>0.19491126466821362</v>
      </c>
    </row>
    <row r="52" spans="1:10" x14ac:dyDescent="0.2">
      <c r="A52" s="24" t="str">
        <f>VLOOKUP("&lt;Zeilentitel_34&gt;",Uebersetzungen!$B$4:$E$78,Uebersetzungen!$B$2+1,FALSE)</f>
        <v>Flims Laax</v>
      </c>
      <c r="B52" s="5"/>
      <c r="C52" s="13">
        <v>16121</v>
      </c>
      <c r="D52" s="17">
        <v>15071</v>
      </c>
      <c r="E52" s="10">
        <f t="shared" si="3"/>
        <v>6.9670227589410105E-2</v>
      </c>
      <c r="F52" s="80">
        <v>3.3132530120481896E-2</v>
      </c>
      <c r="G52" s="83">
        <v>243899</v>
      </c>
      <c r="H52" s="17">
        <v>250709</v>
      </c>
      <c r="I52" s="10">
        <f t="shared" si="4"/>
        <v>-2.7162965828909202E-2</v>
      </c>
      <c r="J52" s="44">
        <v>1.0159621613114345E-2</v>
      </c>
    </row>
    <row r="53" spans="1:10" x14ac:dyDescent="0.2">
      <c r="A53" s="24" t="str">
        <f>VLOOKUP("&lt;Zeilentitel_35&gt;",Uebersetzungen!$B$4:$E$78,Uebersetzungen!$B$2+1,FALSE)</f>
        <v>Lenzerheide</v>
      </c>
      <c r="B53" s="5"/>
      <c r="C53" s="13">
        <v>9871</v>
      </c>
      <c r="D53" s="17">
        <v>7463</v>
      </c>
      <c r="E53" s="10">
        <f t="shared" si="3"/>
        <v>0.32265844834516955</v>
      </c>
      <c r="F53" s="80">
        <v>0.5668253968253969</v>
      </c>
      <c r="G53" s="83">
        <v>155751</v>
      </c>
      <c r="H53" s="17">
        <v>149974</v>
      </c>
      <c r="I53" s="10">
        <f t="shared" si="4"/>
        <v>3.8520010135089988E-2</v>
      </c>
      <c r="J53" s="44">
        <v>6.8444492006783042E-2</v>
      </c>
    </row>
    <row r="54" spans="1:10" x14ac:dyDescent="0.2">
      <c r="A54" s="24" t="str">
        <f>VLOOKUP("&lt;Zeilentitel_36&gt;",Uebersetzungen!$B$4:$E$78,Uebersetzungen!$B$2+1,FALSE)</f>
        <v>Prättigau</v>
      </c>
      <c r="B54" s="5"/>
      <c r="C54" s="13">
        <v>5025</v>
      </c>
      <c r="D54" s="17">
        <v>5146</v>
      </c>
      <c r="E54" s="10">
        <f t="shared" si="3"/>
        <v>-2.3513408472600084E-2</v>
      </c>
      <c r="F54" s="80">
        <v>0.19392701007413038</v>
      </c>
      <c r="G54" s="83">
        <v>40622</v>
      </c>
      <c r="H54" s="17">
        <v>42673</v>
      </c>
      <c r="I54" s="10">
        <f t="shared" si="4"/>
        <v>-4.8063178121997563E-2</v>
      </c>
      <c r="J54" s="44">
        <v>0.22683563265601947</v>
      </c>
    </row>
    <row r="55" spans="1:10" x14ac:dyDescent="0.2">
      <c r="A55" s="24" t="str">
        <f>VLOOKUP("&lt;Zeilentitel_37&gt;",Uebersetzungen!$B$4:$E$78,Uebersetzungen!$B$2+1,FALSE)</f>
        <v>San Bernardino, Mesolcina/Calanca</v>
      </c>
      <c r="B55" s="5"/>
      <c r="C55" s="13">
        <v>1256</v>
      </c>
      <c r="D55" s="17">
        <v>1451</v>
      </c>
      <c r="E55" s="10">
        <f t="shared" si="3"/>
        <v>-0.13439007580978635</v>
      </c>
      <c r="F55" s="80">
        <v>8.8388214904679296E-2</v>
      </c>
      <c r="G55" s="83">
        <v>9516</v>
      </c>
      <c r="H55" s="17">
        <v>8240</v>
      </c>
      <c r="I55" s="10">
        <f t="shared" si="4"/>
        <v>0.15485436893203874</v>
      </c>
      <c r="J55" s="44">
        <v>0.18490847964138957</v>
      </c>
    </row>
    <row r="56" spans="1:10" x14ac:dyDescent="0.2">
      <c r="A56" s="24" t="str">
        <f>VLOOKUP("&lt;Zeilentitel_38&gt;",Uebersetzungen!$B$4:$E$78,Uebersetzungen!$B$2+1,FALSE)</f>
        <v>Val Surses</v>
      </c>
      <c r="B56" s="5"/>
      <c r="C56" s="13">
        <v>4162</v>
      </c>
      <c r="D56" s="17">
        <v>3051</v>
      </c>
      <c r="E56" s="10">
        <f t="shared" si="3"/>
        <v>0.36414290396591276</v>
      </c>
      <c r="F56" s="80">
        <v>0.94032634032634022</v>
      </c>
      <c r="G56" s="83">
        <v>45309</v>
      </c>
      <c r="H56" s="17">
        <v>39439</v>
      </c>
      <c r="I56" s="10">
        <f t="shared" si="4"/>
        <v>0.14883744516848796</v>
      </c>
      <c r="J56" s="44">
        <v>0.31215573613822079</v>
      </c>
    </row>
    <row r="57" spans="1:10" x14ac:dyDescent="0.2">
      <c r="A57" s="24" t="str">
        <f>VLOOKUP("&lt;Zeilentitel_39&gt;",Uebersetzungen!$B$4:$E$78,Uebersetzungen!$B$2+1,FALSE)</f>
        <v>Surselva</v>
      </c>
      <c r="B57" s="5"/>
      <c r="C57" s="13">
        <v>4458</v>
      </c>
      <c r="D57" s="17">
        <v>4639</v>
      </c>
      <c r="E57" s="10">
        <f t="shared" si="3"/>
        <v>-3.9017029532226744E-2</v>
      </c>
      <c r="F57" s="80">
        <v>1.9717278924012982E-2</v>
      </c>
      <c r="G57" s="83">
        <v>46526</v>
      </c>
      <c r="H57" s="17">
        <v>46450</v>
      </c>
      <c r="I57" s="10">
        <f t="shared" si="4"/>
        <v>1.6361679224972114E-3</v>
      </c>
      <c r="J57" s="44">
        <v>-1.1506853971734232E-2</v>
      </c>
    </row>
    <row r="58" spans="1:10" x14ac:dyDescent="0.2">
      <c r="A58" s="24" t="str">
        <f>VLOOKUP("&lt;Zeilentitel_40&gt;",Uebersetzungen!$B$4:$E$78,Uebersetzungen!$B$2+1,FALSE)</f>
        <v>Valposchiavo</v>
      </c>
      <c r="B58" s="5"/>
      <c r="C58" s="13">
        <v>6183</v>
      </c>
      <c r="D58" s="17">
        <v>6004</v>
      </c>
      <c r="E58" s="10">
        <f t="shared" si="3"/>
        <v>2.9813457694870094E-2</v>
      </c>
      <c r="F58" s="80">
        <v>0.18312284730195172</v>
      </c>
      <c r="G58" s="83">
        <v>18882</v>
      </c>
      <c r="H58" s="17">
        <v>17417</v>
      </c>
      <c r="I58" s="10">
        <f t="shared" si="4"/>
        <v>8.4113222713440905E-2</v>
      </c>
      <c r="J58" s="44">
        <v>0.3398901519989781</v>
      </c>
    </row>
    <row r="59" spans="1:10" x14ac:dyDescent="0.2">
      <c r="A59" s="24" t="str">
        <f>VLOOKUP("&lt;Zeilentitel_41&gt;",Uebersetzungen!$B$4:$E$78,Uebersetzungen!$B$2+1,FALSE)</f>
        <v>Vals</v>
      </c>
      <c r="B59" s="5"/>
      <c r="C59" s="13">
        <v>3843</v>
      </c>
      <c r="D59" s="17">
        <v>3303</v>
      </c>
      <c r="E59" s="10">
        <f t="shared" si="3"/>
        <v>0.1634877384196185</v>
      </c>
      <c r="F59" s="80">
        <v>8.1255978841933585E-2</v>
      </c>
      <c r="G59" s="83">
        <v>29688</v>
      </c>
      <c r="H59" s="17">
        <v>29546</v>
      </c>
      <c r="I59" s="10">
        <f t="shared" si="4"/>
        <v>4.8060651187977754E-3</v>
      </c>
      <c r="J59" s="44">
        <v>1.6754113182733343E-2</v>
      </c>
    </row>
    <row r="60" spans="1:10" x14ac:dyDescent="0.2">
      <c r="A60" s="24" t="str">
        <f>VLOOKUP("&lt;Zeilentitel_42&gt;",Uebersetzungen!$B$4:$E$78,Uebersetzungen!$B$2+1,FALSE)</f>
        <v>Viamala</v>
      </c>
      <c r="B60" s="7"/>
      <c r="C60" s="14">
        <v>5448</v>
      </c>
      <c r="D60" s="18">
        <v>5164</v>
      </c>
      <c r="E60" s="11">
        <f t="shared" si="3"/>
        <v>5.4996127033307474E-2</v>
      </c>
      <c r="F60" s="81">
        <v>0.26868799776442653</v>
      </c>
      <c r="G60" s="84">
        <v>35527</v>
      </c>
      <c r="H60" s="18">
        <v>31794</v>
      </c>
      <c r="I60" s="11">
        <f t="shared" si="4"/>
        <v>0.11741209033150901</v>
      </c>
      <c r="J60" s="46">
        <v>0.16945916587116105</v>
      </c>
    </row>
    <row r="61" spans="1:10" ht="13.5" thickBot="1" x14ac:dyDescent="0.25">
      <c r="A61" s="26" t="str">
        <f>VLOOKUP("&lt;Zeilentitel_43&gt;",Uebersetzungen!$B$4:$E$78,Uebersetzungen!$B$2+1,FALSE)</f>
        <v>Graubünden</v>
      </c>
      <c r="B61" s="6"/>
      <c r="C61" s="30">
        <v>172322</v>
      </c>
      <c r="D61" s="40">
        <v>161117</v>
      </c>
      <c r="E61" s="65">
        <f t="shared" si="3"/>
        <v>6.9545733845590485E-2</v>
      </c>
      <c r="F61" s="82">
        <v>0.29023514771793057</v>
      </c>
      <c r="G61" s="79">
        <v>2517428</v>
      </c>
      <c r="H61" s="40">
        <v>2429913</v>
      </c>
      <c r="I61" s="65">
        <f t="shared" si="4"/>
        <v>3.6015692742908945E-2</v>
      </c>
      <c r="J61" s="66">
        <v>0.14024825012748043</v>
      </c>
    </row>
    <row r="63" spans="1:10" x14ac:dyDescent="0.2">
      <c r="A63" s="4" t="str">
        <f>VLOOKUP("&lt;Legende_1&gt;",Uebersetzungen!$B$4:$E$80,Uebersetzungen!$B$2+1,FALSE)</f>
        <v>Aktuelle Zuordnung der politischen Gemeinden zu Destinationen:</v>
      </c>
      <c r="E63" s="67" t="s">
        <v>214</v>
      </c>
      <c r="F63" s="49"/>
    </row>
    <row r="65" spans="1:10" ht="10.5" customHeight="1" x14ac:dyDescent="0.2"/>
    <row r="66" spans="1:10" ht="18" x14ac:dyDescent="0.25">
      <c r="A66" s="2" t="str">
        <f>VLOOKUP("&lt;T5Titel3&gt;",Uebersetzungen!$B$4:$E$304,Uebersetzungen!$B$2+1,FALSE)</f>
        <v>Hotel- und Kurbetriebe: Logiernächte im Mai 2024, nach Schweizer Tourismusregionen</v>
      </c>
      <c r="B66" s="3"/>
      <c r="C66" s="3"/>
      <c r="D66" s="3"/>
      <c r="E66" s="3"/>
      <c r="F66" s="3"/>
    </row>
    <row r="67" spans="1:10" s="123" customFormat="1" x14ac:dyDescent="0.2">
      <c r="A67" s="120" t="str">
        <f>VLOOKUP("&lt;Titelprov&gt;",Uebersetzungen!$B$4:$E$304,Uebersetzungen!$B$2+1,FALSE)</f>
        <v>definitive Ergebnisse</v>
      </c>
      <c r="B67" s="121"/>
      <c r="C67" s="122"/>
      <c r="D67" s="122"/>
      <c r="E67" s="122"/>
      <c r="F67" s="122"/>
      <c r="G67" s="122"/>
    </row>
    <row r="68" spans="1:10" ht="18.75" customHeight="1" thickBot="1" x14ac:dyDescent="0.3">
      <c r="A68" s="50"/>
    </row>
    <row r="69" spans="1:10" ht="51" x14ac:dyDescent="0.2">
      <c r="A69" s="8"/>
      <c r="B69" s="9"/>
      <c r="C69" s="20" t="str">
        <f>VLOOKUP("&lt;T5SpaltenTitel_1&gt;",Uebersetzungen!$B$4:$E$304,Uebersetzungen!$B$2+1,FALSE)</f>
        <v>Mai 2024</v>
      </c>
      <c r="D69" s="21" t="str">
        <f>VLOOKUP("&lt;T5SpaltenTitel_2&gt;",Uebersetzungen!$B$4:$E$304,Uebersetzungen!$B$2+1,FALSE)</f>
        <v>Mai 2023</v>
      </c>
      <c r="E69" s="22" t="str">
        <f>VLOOKUP("&lt;SpaltenTitel_3&gt;",Uebersetzungen!$B$4:$E$304,Uebersetzungen!$B$2+1,FALSE)</f>
        <v>Veränderung 24/23 in %</v>
      </c>
      <c r="F69" s="22" t="str">
        <f>VLOOKUP("&lt;SpaltenTitel_4&gt;",Uebersetzungen!$B$4:$E$304,Uebersetzungen!$B$2+1,FALSE)</f>
        <v>Veränderung zum
5-Jahresmittel 
in %</v>
      </c>
      <c r="G69" s="75" t="str">
        <f>VLOOKUP("&lt;T5SpaltenTitel_5&gt;",Uebersetzungen!$B$4:$E$304,Uebersetzungen!$B$2+1,FALSE)</f>
        <v>Januar-Mai 24</v>
      </c>
      <c r="H69" s="22" t="str">
        <f>VLOOKUP("&lt;T5SpaltenTitel_6&gt;",Uebersetzungen!$B$4:$E$304,Uebersetzungen!$B$2+1,FALSE)</f>
        <v>Januar-Mai 23</v>
      </c>
      <c r="I69" s="22" t="str">
        <f>VLOOKUP("&lt;SpaltenTitel_7&gt;",Uebersetzungen!$B$4:$E$304,Uebersetzungen!$B$2+1,FALSE)</f>
        <v>Veränderung 24/23 in %</v>
      </c>
      <c r="J69" s="23" t="str">
        <f>VLOOKUP("&lt;SpaltenTitel_8&gt;",Uebersetzungen!$B$4:$E$304,Uebersetzungen!$B$2+1,FALSE)</f>
        <v>Veränderung zum
5-Jahresmittel 
in %</v>
      </c>
    </row>
    <row r="70" spans="1:10" x14ac:dyDescent="0.2">
      <c r="A70" s="24" t="str">
        <f>VLOOKUP("&lt;Zeilentitel_44&gt;",Uebersetzungen!$B$4:$E$78,Uebersetzungen!$B$2+1,FALSE)</f>
        <v>Aargau und Solothurn Region</v>
      </c>
      <c r="B70" s="5"/>
      <c r="C70" s="13">
        <v>121230</v>
      </c>
      <c r="D70" s="17">
        <v>110676</v>
      </c>
      <c r="E70" s="10">
        <f>C70/D70-1</f>
        <v>9.5359427518161066E-2</v>
      </c>
      <c r="F70" s="80">
        <v>0.45217628794848186</v>
      </c>
      <c r="G70" s="83">
        <v>446157</v>
      </c>
      <c r="H70" s="17">
        <v>419608</v>
      </c>
      <c r="I70" s="10">
        <f>G70/H70-1</f>
        <v>6.3270957655716664E-2</v>
      </c>
      <c r="J70" s="44">
        <v>0.37068286985122545</v>
      </c>
    </row>
    <row r="71" spans="1:10" x14ac:dyDescent="0.2">
      <c r="A71" s="24" t="str">
        <f>VLOOKUP("&lt;Zeilentitel_45&gt;",Uebersetzungen!$B$4:$E$78,Uebersetzungen!$B$2+1,FALSE)</f>
        <v>Basel Region</v>
      </c>
      <c r="B71" s="5"/>
      <c r="C71" s="13">
        <v>165797</v>
      </c>
      <c r="D71" s="17">
        <v>158017</v>
      </c>
      <c r="E71" s="10">
        <f t="shared" ref="E71:E83" si="5">C71/D71-1</f>
        <v>4.9235208869931713E-2</v>
      </c>
      <c r="F71" s="80">
        <v>0.44759152384029055</v>
      </c>
      <c r="G71" s="83">
        <v>632920</v>
      </c>
      <c r="H71" s="17">
        <v>621618</v>
      </c>
      <c r="I71" s="10">
        <f t="shared" ref="I71:I83" si="6">G71/H71-1</f>
        <v>1.8181584188360134E-2</v>
      </c>
      <c r="J71" s="44">
        <v>0.39027213678668149</v>
      </c>
    </row>
    <row r="72" spans="1:10" x14ac:dyDescent="0.2">
      <c r="A72" s="24" t="str">
        <f>VLOOKUP("&lt;Zeilentitel_46&gt;",Uebersetzungen!$B$4:$E$78,Uebersetzungen!$B$2+1,FALSE)</f>
        <v>Bern Region</v>
      </c>
      <c r="B72" s="5"/>
      <c r="C72" s="13">
        <v>540960</v>
      </c>
      <c r="D72" s="17">
        <v>495687</v>
      </c>
      <c r="E72" s="10">
        <f t="shared" si="5"/>
        <v>9.1333845753469367E-2</v>
      </c>
      <c r="F72" s="80">
        <v>0.63864408381511839</v>
      </c>
      <c r="G72" s="83">
        <v>2162580</v>
      </c>
      <c r="H72" s="17">
        <v>2075280</v>
      </c>
      <c r="I72" s="10">
        <f t="shared" si="6"/>
        <v>4.2066612698045569E-2</v>
      </c>
      <c r="J72" s="44">
        <v>0.35166690459290972</v>
      </c>
    </row>
    <row r="73" spans="1:10" x14ac:dyDescent="0.2">
      <c r="A73" s="24" t="str">
        <f>VLOOKUP("&lt;Zeilentitel_47&gt;",Uebersetzungen!$B$4:$E$78,Uebersetzungen!$B$2+1,FALSE)</f>
        <v>Fribourg Region</v>
      </c>
      <c r="B73" s="5"/>
      <c r="C73" s="13">
        <v>42546</v>
      </c>
      <c r="D73" s="17">
        <v>44943</v>
      </c>
      <c r="E73" s="10">
        <f t="shared" si="5"/>
        <v>-5.333422334957616E-2</v>
      </c>
      <c r="F73" s="80">
        <v>0.13154857206687254</v>
      </c>
      <c r="G73" s="83">
        <v>175301</v>
      </c>
      <c r="H73" s="17">
        <v>170319</v>
      </c>
      <c r="I73" s="10">
        <f t="shared" si="6"/>
        <v>2.925099372354234E-2</v>
      </c>
      <c r="J73" s="44">
        <v>0.26747375773096715</v>
      </c>
    </row>
    <row r="74" spans="1:10" x14ac:dyDescent="0.2">
      <c r="A74" s="24" t="str">
        <f>VLOOKUP("&lt;Zeilentitel_48&gt;",Uebersetzungen!$B$4:$E$78,Uebersetzungen!$B$2+1,FALSE)</f>
        <v>Genf</v>
      </c>
      <c r="B74" s="5"/>
      <c r="C74" s="13">
        <v>350330</v>
      </c>
      <c r="D74" s="17">
        <v>319390</v>
      </c>
      <c r="E74" s="10">
        <f t="shared" si="5"/>
        <v>9.6872162559879849E-2</v>
      </c>
      <c r="F74" s="80">
        <v>0.74332388512464465</v>
      </c>
      <c r="G74" s="83">
        <v>1417614</v>
      </c>
      <c r="H74" s="17">
        <v>1309188</v>
      </c>
      <c r="I74" s="10">
        <f t="shared" si="6"/>
        <v>8.2819274237160734E-2</v>
      </c>
      <c r="J74" s="44">
        <v>0.59824186112164002</v>
      </c>
    </row>
    <row r="75" spans="1:10" x14ac:dyDescent="0.2">
      <c r="A75" s="110" t="str">
        <f>VLOOKUP("&lt;Zeilentitel_49&gt;",Uebersetzungen!$B$4:$E$78,Uebersetzungen!$B$2+1,FALSE)</f>
        <v>Graubünden</v>
      </c>
      <c r="B75" s="60"/>
      <c r="C75" s="61">
        <v>172322</v>
      </c>
      <c r="D75" s="62">
        <v>161117</v>
      </c>
      <c r="E75" s="63">
        <f t="shared" si="5"/>
        <v>6.9545733845590485E-2</v>
      </c>
      <c r="F75" s="85">
        <v>0.29023514771793057</v>
      </c>
      <c r="G75" s="87">
        <v>2517428</v>
      </c>
      <c r="H75" s="62">
        <v>2429913</v>
      </c>
      <c r="I75" s="63">
        <f t="shared" si="6"/>
        <v>3.6015692742908945E-2</v>
      </c>
      <c r="J75" s="64">
        <v>0.14024825012748043</v>
      </c>
    </row>
    <row r="76" spans="1:10" x14ac:dyDescent="0.2">
      <c r="A76" s="24" t="str">
        <f>VLOOKUP("&lt;Zeilentitel_50&gt;",Uebersetzungen!$B$4:$E$78,Uebersetzungen!$B$2+1,FALSE)</f>
        <v>Jura &amp; Drei-Seen-Land</v>
      </c>
      <c r="B76" s="5"/>
      <c r="C76" s="13">
        <v>62266</v>
      </c>
      <c r="D76" s="17">
        <v>61453</v>
      </c>
      <c r="E76" s="10">
        <f t="shared" si="5"/>
        <v>1.3229622638439187E-2</v>
      </c>
      <c r="F76" s="80">
        <v>0.19768564646864895</v>
      </c>
      <c r="G76" s="83">
        <v>211446</v>
      </c>
      <c r="H76" s="17">
        <v>210266</v>
      </c>
      <c r="I76" s="10">
        <f t="shared" si="6"/>
        <v>5.6119391627746928E-3</v>
      </c>
      <c r="J76" s="44">
        <v>0.20589791905246413</v>
      </c>
    </row>
    <row r="77" spans="1:10" x14ac:dyDescent="0.2">
      <c r="A77" s="24" t="str">
        <f>VLOOKUP("&lt;Zeilentitel_51&gt;",Uebersetzungen!$B$4:$E$78,Uebersetzungen!$B$2+1,FALSE)</f>
        <v>Luzern / Vierwaldstättersee</v>
      </c>
      <c r="B77" s="5"/>
      <c r="C77" s="13">
        <v>381421</v>
      </c>
      <c r="D77" s="17">
        <v>352731</v>
      </c>
      <c r="E77" s="10">
        <f t="shared" si="5"/>
        <v>8.1336769379498852E-2</v>
      </c>
      <c r="F77" s="80">
        <v>0.46427353918539582</v>
      </c>
      <c r="G77" s="83">
        <v>1425353</v>
      </c>
      <c r="H77" s="17">
        <v>1374790</v>
      </c>
      <c r="I77" s="10">
        <f t="shared" si="6"/>
        <v>3.6778708020861473E-2</v>
      </c>
      <c r="J77" s="44">
        <v>0.31571232377744285</v>
      </c>
    </row>
    <row r="78" spans="1:10" x14ac:dyDescent="0.2">
      <c r="A78" s="24" t="str">
        <f>VLOOKUP("&lt;Zeilentitel_52&gt;",Uebersetzungen!$B$4:$E$78,Uebersetzungen!$B$2+1,FALSE)</f>
        <v>Ostschweiz</v>
      </c>
      <c r="B78" s="5"/>
      <c r="C78" s="13">
        <v>181592</v>
      </c>
      <c r="D78" s="17">
        <v>184136</v>
      </c>
      <c r="E78" s="10">
        <f t="shared" si="5"/>
        <v>-1.3815875222661478E-2</v>
      </c>
      <c r="F78" s="80">
        <v>0.18567464333518324</v>
      </c>
      <c r="G78" s="83">
        <v>723534</v>
      </c>
      <c r="H78" s="17">
        <v>720174</v>
      </c>
      <c r="I78" s="10">
        <f t="shared" si="6"/>
        <v>4.6655391613692476E-3</v>
      </c>
      <c r="J78" s="44">
        <v>0.18957419684086285</v>
      </c>
    </row>
    <row r="79" spans="1:10" x14ac:dyDescent="0.2">
      <c r="A79" s="24" t="str">
        <f>VLOOKUP("&lt;Zeilentitel_53&gt;",Uebersetzungen!$B$4:$E$78,Uebersetzungen!$B$2+1,FALSE)</f>
        <v>Tessin</v>
      </c>
      <c r="B79" s="5"/>
      <c r="C79" s="13">
        <v>251516</v>
      </c>
      <c r="D79" s="17">
        <v>248204</v>
      </c>
      <c r="E79" s="10">
        <f t="shared" si="5"/>
        <v>1.334386230681206E-2</v>
      </c>
      <c r="F79" s="80">
        <v>7.6229883483596605E-2</v>
      </c>
      <c r="G79" s="83">
        <v>741923</v>
      </c>
      <c r="H79" s="17">
        <v>789553</v>
      </c>
      <c r="I79" s="10">
        <f t="shared" si="6"/>
        <v>-6.0325272654274009E-2</v>
      </c>
      <c r="J79" s="44">
        <v>5.8006144487872113E-2</v>
      </c>
    </row>
    <row r="80" spans="1:10" x14ac:dyDescent="0.2">
      <c r="A80" s="24" t="str">
        <f>VLOOKUP("&lt;Zeilentitel_54&gt;",Uebersetzungen!$B$4:$E$78,Uebersetzungen!$B$2+1,FALSE)</f>
        <v>Waadt</v>
      </c>
      <c r="B80" s="5"/>
      <c r="C80" s="13">
        <v>272351</v>
      </c>
      <c r="D80" s="17">
        <v>267545</v>
      </c>
      <c r="E80" s="10">
        <f t="shared" si="5"/>
        <v>1.7963333271038495E-2</v>
      </c>
      <c r="F80" s="80">
        <v>0.36906030579170457</v>
      </c>
      <c r="G80" s="83">
        <v>1048726</v>
      </c>
      <c r="H80" s="17">
        <v>1047906</v>
      </c>
      <c r="I80" s="10">
        <f t="shared" si="6"/>
        <v>7.825129353205007E-4</v>
      </c>
      <c r="J80" s="44">
        <v>0.25017613134737426</v>
      </c>
    </row>
    <row r="81" spans="1:10" x14ac:dyDescent="0.2">
      <c r="A81" s="24" t="str">
        <f>VLOOKUP("&lt;Zeilentitel_55&gt;",Uebersetzungen!$B$4:$E$78,Uebersetzungen!$B$2+1,FALSE)</f>
        <v>Wallis</v>
      </c>
      <c r="B81" s="5"/>
      <c r="C81" s="13">
        <v>191496</v>
      </c>
      <c r="D81" s="17">
        <v>183180</v>
      </c>
      <c r="E81" s="33">
        <f t="shared" si="5"/>
        <v>4.5397969210612565E-2</v>
      </c>
      <c r="F81" s="80">
        <v>0.49866643292721102</v>
      </c>
      <c r="G81" s="83">
        <v>1953291</v>
      </c>
      <c r="H81" s="17">
        <v>1948771</v>
      </c>
      <c r="I81" s="33">
        <f t="shared" si="6"/>
        <v>2.3194105413104626E-3</v>
      </c>
      <c r="J81" s="44">
        <v>0.18760124722721505</v>
      </c>
    </row>
    <row r="82" spans="1:10" x14ac:dyDescent="0.2">
      <c r="A82" s="24" t="str">
        <f>VLOOKUP("&lt;Zeilentitel_56&gt;",Uebersetzungen!$B$4:$E$78,Uebersetzungen!$B$2+1,FALSE)</f>
        <v>Zürich Region</v>
      </c>
      <c r="B82" s="7"/>
      <c r="C82" s="14">
        <v>669530</v>
      </c>
      <c r="D82" s="18">
        <v>634110</v>
      </c>
      <c r="E82" s="43">
        <f t="shared" si="5"/>
        <v>5.5857816467174359E-2</v>
      </c>
      <c r="F82" s="11">
        <v>0.60307873098359743</v>
      </c>
      <c r="G82" s="84">
        <v>2598151</v>
      </c>
      <c r="H82" s="18">
        <v>2501947</v>
      </c>
      <c r="I82" s="43">
        <f t="shared" si="6"/>
        <v>3.8451653851980128E-2</v>
      </c>
      <c r="J82" s="48">
        <v>0.5338526640079071</v>
      </c>
    </row>
    <row r="83" spans="1:10" ht="13.5" thickBot="1" x14ac:dyDescent="0.25">
      <c r="A83" s="71" t="str">
        <f>VLOOKUP("&lt;Zeilentitel_57&gt;",Uebersetzungen!$B$4:$E$78,Uebersetzungen!$B$2+1,FALSE)</f>
        <v>Schweiz</v>
      </c>
      <c r="B83" s="39"/>
      <c r="C83" s="30">
        <v>3403357</v>
      </c>
      <c r="D83" s="40">
        <v>3221189</v>
      </c>
      <c r="E83" s="41">
        <f t="shared" si="5"/>
        <v>5.6553030573493146E-2</v>
      </c>
      <c r="F83" s="86">
        <v>0.45197681927306199</v>
      </c>
      <c r="G83" s="79">
        <v>16054424</v>
      </c>
      <c r="H83" s="40">
        <v>15619333</v>
      </c>
      <c r="I83" s="41">
        <f t="shared" si="6"/>
        <v>2.7855927010455472E-2</v>
      </c>
      <c r="J83" s="45">
        <v>0.29896604095332568</v>
      </c>
    </row>
    <row r="84" spans="1:10" x14ac:dyDescent="0.2">
      <c r="A84" s="34"/>
      <c r="B84" s="35"/>
      <c r="C84" s="29"/>
      <c r="D84" s="36"/>
      <c r="E84" s="37"/>
      <c r="F84" s="38"/>
    </row>
    <row r="85" spans="1:10" x14ac:dyDescent="0.2">
      <c r="A85" s="4" t="str">
        <f>VLOOKUP("&lt;Quelle_1&gt;",Uebersetzungen!$B$4:$E$86,Uebersetzungen!$B$2+1,FALSE)</f>
        <v>Quelle: BFS (HESTA)</v>
      </c>
    </row>
    <row r="86" spans="1:10" ht="12.75" customHeight="1" x14ac:dyDescent="0.2">
      <c r="A86" s="4" t="str">
        <f>VLOOKUP("&lt;T5Aktualisierung&gt;",Uebersetzungen!$B$4:$E$304,Uebersetzungen!$B$2+1,FALSE)</f>
        <v>Letztmals aktualisiert am: 05.07.2024</v>
      </c>
    </row>
    <row r="87" spans="1:10" x14ac:dyDescent="0.2">
      <c r="A87" s="4" t="str">
        <f>VLOOKUP("&lt;Legende_2&gt;",Uebersetzungen!$B$4:$E$86,Uebersetzungen!$B$2+1,FALSE)</f>
        <v>Kontakt: Luzius Stricker, 081 257 23 74, luzius.stricker@awt.gr.ch</v>
      </c>
    </row>
    <row r="88" spans="1:10" x14ac:dyDescent="0.2">
      <c r="A88" s="31" t="str">
        <f>VLOOKUP("&lt;T5Legende_3&gt;",Uebersetzungen!$B$4:$E$304,Uebersetzungen!$B$2+1,FALSE)</f>
        <v>Daten des Juni 2024 erscheinen am 5. August 2024.</v>
      </c>
    </row>
    <row r="90" spans="1:10" x14ac:dyDescent="0.2">
      <c r="A90" s="4" t="s">
        <v>55</v>
      </c>
    </row>
  </sheetData>
  <sheetProtection sheet="1" objects="1" scenarios="1"/>
  <mergeCells count="1">
    <mergeCell ref="A7:D7"/>
  </mergeCells>
  <hyperlinks>
    <hyperlink ref="E63" r:id="rId1"/>
  </hyperlinks>
  <pageMargins left="0.70866141732283472" right="0.70866141732283472" top="0.78740157480314965" bottom="0.78740157480314965" header="0.31496062992125984" footer="0.31496062992125984"/>
  <pageSetup paperSize="9" scale="90" fitToHeight="2" orientation="landscape" r:id="rId2"/>
  <rowBreaks count="2" manualBreakCount="2">
    <brk id="38" max="9" man="1"/>
    <brk id="65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J90"/>
  <sheetViews>
    <sheetView zoomScaleNormal="100" workbookViewId="0"/>
  </sheetViews>
  <sheetFormatPr baseColWidth="10" defaultColWidth="11.42578125" defaultRowHeight="12.75" x14ac:dyDescent="0.2"/>
  <cols>
    <col min="1" max="1" width="12.140625" style="4" customWidth="1"/>
    <col min="2" max="2" width="22.42578125" style="4" customWidth="1"/>
    <col min="3" max="10" width="13.42578125" style="4" customWidth="1"/>
    <col min="11" max="16384" width="11.42578125" style="4"/>
  </cols>
  <sheetData>
    <row r="1" spans="1:10" s="68" customFormat="1" x14ac:dyDescent="0.2"/>
    <row r="2" spans="1:10" s="68" customFormat="1" ht="15.75" x14ac:dyDescent="0.25">
      <c r="B2" s="69"/>
      <c r="C2" s="4"/>
      <c r="D2" s="4"/>
    </row>
    <row r="3" spans="1:10" s="68" customFormat="1" ht="15.75" x14ac:dyDescent="0.25">
      <c r="B3" s="69"/>
      <c r="C3" s="4"/>
      <c r="D3" s="4"/>
    </row>
    <row r="4" spans="1:10" s="68" customFormat="1" ht="15.75" x14ac:dyDescent="0.25">
      <c r="B4" s="69"/>
      <c r="C4" s="4"/>
      <c r="D4" s="4"/>
    </row>
    <row r="5" spans="1:10" s="68" customFormat="1" x14ac:dyDescent="0.2"/>
    <row r="6" spans="1:10" s="68" customFormat="1" x14ac:dyDescent="0.2"/>
    <row r="7" spans="1:10" ht="15.75" customHeight="1" x14ac:dyDescent="0.2">
      <c r="A7" s="124" t="str">
        <f>VLOOKUP("&lt;Fachbereich&gt;",Uebersetzungen!$B$4:$E$304,Uebersetzungen!$B$2+1,FALSE)</f>
        <v>Daten &amp; Statistik</v>
      </c>
      <c r="B7" s="124"/>
      <c r="C7" s="124"/>
      <c r="D7" s="124"/>
      <c r="E7" s="95"/>
      <c r="F7" s="1"/>
    </row>
    <row r="8" spans="1:10" ht="10.5" customHeight="1" x14ac:dyDescent="0.2"/>
    <row r="9" spans="1:10" ht="18" x14ac:dyDescent="0.25">
      <c r="A9" s="2" t="str">
        <f>VLOOKUP("&lt;T4Titel1&gt;",Uebersetzungen!$B$4:$E$304,Uebersetzungen!$B$2+1,FALSE)</f>
        <v>Hotel- und Kurbetriebe: Logiernächte im April 2024, nach Herkunft</v>
      </c>
      <c r="B9" s="3"/>
      <c r="C9" s="3"/>
      <c r="D9" s="3"/>
      <c r="E9" s="3"/>
      <c r="F9" s="3"/>
    </row>
    <row r="10" spans="1:10" s="123" customFormat="1" x14ac:dyDescent="0.2">
      <c r="A10" s="120" t="str">
        <f>VLOOKUP("&lt;Titelprov&gt;",Uebersetzungen!$B$4:$E$304,Uebersetzungen!$B$2+1,FALSE)</f>
        <v>definitive Ergebnisse</v>
      </c>
      <c r="B10" s="121"/>
      <c r="C10" s="122"/>
      <c r="D10" s="122"/>
      <c r="E10" s="122"/>
      <c r="F10" s="122"/>
      <c r="G10" s="122"/>
    </row>
    <row r="11" spans="1:10" ht="13.5" thickBot="1" x14ac:dyDescent="0.25"/>
    <row r="12" spans="1:10" ht="51" x14ac:dyDescent="0.2">
      <c r="A12" s="8"/>
      <c r="B12" s="9"/>
      <c r="C12" s="20" t="str">
        <f>VLOOKUP("&lt;T4SpaltenTitel_1&gt;",Uebersetzungen!$B$4:$E$304,Uebersetzungen!$B$2+1,FALSE)</f>
        <v>April 2024</v>
      </c>
      <c r="D12" s="21" t="str">
        <f>VLOOKUP("&lt;T4SpaltenTitel_2&gt;",Uebersetzungen!$B$4:$E$304,Uebersetzungen!$B$2+1,FALSE)</f>
        <v>April 2023</v>
      </c>
      <c r="E12" s="22" t="str">
        <f>VLOOKUP("&lt;SpaltenTitel_3&gt;",Uebersetzungen!$B$4:$E$304,Uebersetzungen!$B$2+1,FALSE)</f>
        <v>Veränderung 24/23 in %</v>
      </c>
      <c r="F12" s="22" t="str">
        <f>VLOOKUP("&lt;SpaltenTitel_4&gt;",Uebersetzungen!$B$4:$E$304,Uebersetzungen!$B$2+1,FALSE)</f>
        <v>Veränderung zum
5-Jahresmittel 
in %</v>
      </c>
      <c r="G12" s="75" t="str">
        <f>VLOOKUP("&lt;T4SpaltenTitel_5&gt;",Uebersetzungen!$B$4:$E$304,Uebersetzungen!$B$2+1,FALSE)</f>
        <v>Januar-April 24</v>
      </c>
      <c r="H12" s="22" t="str">
        <f>VLOOKUP("&lt;T4SpaltenTitel_6&gt;",Uebersetzungen!$B$4:$E$304,Uebersetzungen!$B$2+1,FALSE)</f>
        <v>Januar-April 23</v>
      </c>
      <c r="I12" s="22" t="str">
        <f>VLOOKUP("&lt;SpaltenTitel_7&gt;",Uebersetzungen!$B$4:$E$304,Uebersetzungen!$B$2+1,FALSE)</f>
        <v>Veränderung 24/23 in %</v>
      </c>
      <c r="J12" s="23" t="str">
        <f>VLOOKUP("&lt;SpaltenTitel_8&gt;",Uebersetzungen!$B$4:$E$304,Uebersetzungen!$B$2+1,FALSE)</f>
        <v>Veränderung zum
5-Jahresmittel 
in %</v>
      </c>
    </row>
    <row r="13" spans="1:10" x14ac:dyDescent="0.2">
      <c r="A13" s="24" t="str">
        <f>VLOOKUP("&lt;Zeilentitel_1&gt;",Uebersetzungen!$B$4:$E$78,Uebersetzungen!$B$2+1,FALSE)</f>
        <v>Schweiz</v>
      </c>
      <c r="B13" s="5"/>
      <c r="C13" s="51">
        <v>98643</v>
      </c>
      <c r="D13" s="52">
        <v>122105</v>
      </c>
      <c r="E13" s="53">
        <f t="shared" ref="E13:E36" si="0">C13/D13-1</f>
        <v>-0.19214610376315466</v>
      </c>
      <c r="F13" s="72">
        <v>-0.10555312747656498</v>
      </c>
      <c r="G13" s="76">
        <v>1465186</v>
      </c>
      <c r="H13" s="52">
        <v>1464068</v>
      </c>
      <c r="I13" s="53">
        <f t="shared" ref="I13:I36" si="1">G13/H13-1</f>
        <v>7.6362573323107696E-4</v>
      </c>
      <c r="J13" s="54">
        <v>6.0083244678695857E-2</v>
      </c>
    </row>
    <row r="14" spans="1:10" x14ac:dyDescent="0.2">
      <c r="A14" s="24" t="str">
        <f>VLOOKUP("&lt;Zeilentitel_2&gt;",Uebersetzungen!$B$4:$E$78,Uebersetzungen!$B$2+1,FALSE)</f>
        <v>Deutschland</v>
      </c>
      <c r="B14" s="5"/>
      <c r="C14" s="51">
        <v>21771</v>
      </c>
      <c r="D14" s="52">
        <v>36151</v>
      </c>
      <c r="E14" s="53">
        <f t="shared" si="0"/>
        <v>-0.39777599513153161</v>
      </c>
      <c r="F14" s="72">
        <v>-0.20899459365190098</v>
      </c>
      <c r="G14" s="76">
        <v>369835</v>
      </c>
      <c r="H14" s="52">
        <v>338743</v>
      </c>
      <c r="I14" s="53">
        <f t="shared" si="1"/>
        <v>9.1786398538124869E-2</v>
      </c>
      <c r="J14" s="54">
        <v>0.24084135710638233</v>
      </c>
    </row>
    <row r="15" spans="1:10" x14ac:dyDescent="0.2">
      <c r="A15" s="24" t="str">
        <f>VLOOKUP("&lt;Zeilentitel_3&gt;",Uebersetzungen!$B$4:$E$78,Uebersetzungen!$B$2+1,FALSE)</f>
        <v>Italien</v>
      </c>
      <c r="B15" s="5"/>
      <c r="C15" s="51">
        <v>3101</v>
      </c>
      <c r="D15" s="52">
        <v>3895</v>
      </c>
      <c r="E15" s="53">
        <f t="shared" si="0"/>
        <v>-0.20385109114249034</v>
      </c>
      <c r="F15" s="72">
        <v>9.4290352177288428E-2</v>
      </c>
      <c r="G15" s="76">
        <v>44083</v>
      </c>
      <c r="H15" s="52">
        <v>40495</v>
      </c>
      <c r="I15" s="53">
        <f t="shared" si="1"/>
        <v>8.8603531300160521E-2</v>
      </c>
      <c r="J15" s="54">
        <v>0.37419262325743774</v>
      </c>
    </row>
    <row r="16" spans="1:10" x14ac:dyDescent="0.2">
      <c r="A16" s="24" t="str">
        <f>VLOOKUP("&lt;Zeilentitel_4&gt;",Uebersetzungen!$B$4:$E$78,Uebersetzungen!$B$2+1,FALSE)</f>
        <v>Frankreich</v>
      </c>
      <c r="B16" s="5"/>
      <c r="C16" s="51">
        <v>1123</v>
      </c>
      <c r="D16" s="52">
        <v>1595</v>
      </c>
      <c r="E16" s="53">
        <f t="shared" si="0"/>
        <v>-0.29592476489028208</v>
      </c>
      <c r="F16" s="72">
        <v>-1.4912280701754432E-2</v>
      </c>
      <c r="G16" s="76">
        <v>30055</v>
      </c>
      <c r="H16" s="52">
        <v>21691</v>
      </c>
      <c r="I16" s="53">
        <f t="shared" si="1"/>
        <v>0.38559771333732895</v>
      </c>
      <c r="J16" s="54">
        <v>0.36695653755889901</v>
      </c>
    </row>
    <row r="17" spans="1:10" x14ac:dyDescent="0.2">
      <c r="A17" s="24" t="str">
        <f>VLOOKUP("&lt;Zeilentitel_5&gt;",Uebersetzungen!$B$4:$E$78,Uebersetzungen!$B$2+1,FALSE)</f>
        <v>Österreich</v>
      </c>
      <c r="B17" s="5"/>
      <c r="C17" s="51">
        <v>1625</v>
      </c>
      <c r="D17" s="52">
        <v>2176</v>
      </c>
      <c r="E17" s="53">
        <f t="shared" si="0"/>
        <v>-0.25321691176470584</v>
      </c>
      <c r="F17" s="72">
        <v>4.0066564260112569E-2</v>
      </c>
      <c r="G17" s="76">
        <v>16022</v>
      </c>
      <c r="H17" s="52">
        <v>16253</v>
      </c>
      <c r="I17" s="53">
        <f t="shared" si="1"/>
        <v>-1.4212760721097673E-2</v>
      </c>
      <c r="J17" s="54">
        <v>0.15231368938881795</v>
      </c>
    </row>
    <row r="18" spans="1:10" x14ac:dyDescent="0.2">
      <c r="A18" s="24" t="str">
        <f>VLOOKUP("&lt;Zeilentitel_6&gt;",Uebersetzungen!$B$4:$E$78,Uebersetzungen!$B$2+1,FALSE)</f>
        <v>Niederlande</v>
      </c>
      <c r="B18" s="5"/>
      <c r="C18" s="51">
        <v>1449</v>
      </c>
      <c r="D18" s="52">
        <v>2140</v>
      </c>
      <c r="E18" s="53">
        <f t="shared" si="0"/>
        <v>-0.32289719626168223</v>
      </c>
      <c r="F18" s="72">
        <v>-0.13585400763358779</v>
      </c>
      <c r="G18" s="76">
        <v>40566</v>
      </c>
      <c r="H18" s="52">
        <v>40284</v>
      </c>
      <c r="I18" s="53">
        <f t="shared" si="1"/>
        <v>7.0002978850163267E-3</v>
      </c>
      <c r="J18" s="54">
        <v>0.19787391111767305</v>
      </c>
    </row>
    <row r="19" spans="1:10" x14ac:dyDescent="0.2">
      <c r="A19" s="24" t="str">
        <f>VLOOKUP("&lt;Zeilentitel_7&gt;",Uebersetzungen!$B$4:$E$78,Uebersetzungen!$B$2+1,FALSE)</f>
        <v>Belgien</v>
      </c>
      <c r="B19" s="5"/>
      <c r="C19" s="51">
        <v>3293</v>
      </c>
      <c r="D19" s="52">
        <v>4265</v>
      </c>
      <c r="E19" s="53">
        <f t="shared" si="0"/>
        <v>-0.22790152403282538</v>
      </c>
      <c r="F19" s="72">
        <v>0.13247128413233367</v>
      </c>
      <c r="G19" s="76">
        <v>28070</v>
      </c>
      <c r="H19" s="52">
        <v>29662</v>
      </c>
      <c r="I19" s="53">
        <f t="shared" si="1"/>
        <v>-5.3671364034792002E-2</v>
      </c>
      <c r="J19" s="54">
        <v>0.16808429182549056</v>
      </c>
    </row>
    <row r="20" spans="1:10" x14ac:dyDescent="0.2">
      <c r="A20" s="24" t="str">
        <f>VLOOKUP("&lt;Zeilentitel_8&gt;",Uebersetzungen!$B$4:$E$78,Uebersetzungen!$B$2+1,FALSE)</f>
        <v>Luxemburg</v>
      </c>
      <c r="B20" s="5"/>
      <c r="C20" s="51">
        <v>277</v>
      </c>
      <c r="D20" s="52">
        <v>538</v>
      </c>
      <c r="E20" s="53">
        <f t="shared" si="0"/>
        <v>-0.48513011152416352</v>
      </c>
      <c r="F20" s="72">
        <v>-0.17264038231780165</v>
      </c>
      <c r="G20" s="76">
        <v>9115</v>
      </c>
      <c r="H20" s="52">
        <v>9008</v>
      </c>
      <c r="I20" s="53">
        <f t="shared" si="1"/>
        <v>1.1878330373001678E-2</v>
      </c>
      <c r="J20" s="54">
        <v>5.9711209803055443E-2</v>
      </c>
    </row>
    <row r="21" spans="1:10" x14ac:dyDescent="0.2">
      <c r="A21" s="24" t="str">
        <f>VLOOKUP("&lt;Zeilentitel_9&gt;",Uebersetzungen!$B$4:$E$78,Uebersetzungen!$B$2+1,FALSE)</f>
        <v>Vereinigtes Königreich</v>
      </c>
      <c r="B21" s="5"/>
      <c r="C21" s="51">
        <v>7700</v>
      </c>
      <c r="D21" s="52">
        <v>8641</v>
      </c>
      <c r="E21" s="53">
        <f t="shared" si="0"/>
        <v>-0.10889943293600279</v>
      </c>
      <c r="F21" s="72">
        <v>0.35353677401209382</v>
      </c>
      <c r="G21" s="76">
        <v>80456</v>
      </c>
      <c r="H21" s="52">
        <v>79281</v>
      </c>
      <c r="I21" s="53">
        <f t="shared" si="1"/>
        <v>1.4820701050693108E-2</v>
      </c>
      <c r="J21" s="54">
        <v>0.29759788916163199</v>
      </c>
    </row>
    <row r="22" spans="1:10" x14ac:dyDescent="0.2">
      <c r="A22" s="24" t="str">
        <f>VLOOKUP("&lt;Zeilentitel_10&gt;",Uebersetzungen!$B$4:$E$78,Uebersetzungen!$B$2+1,FALSE)</f>
        <v>Vereinigte Staaten</v>
      </c>
      <c r="B22" s="5"/>
      <c r="C22" s="51">
        <v>4007</v>
      </c>
      <c r="D22" s="52">
        <v>3511</v>
      </c>
      <c r="E22" s="53">
        <f t="shared" si="0"/>
        <v>0.14127029336371399</v>
      </c>
      <c r="F22" s="72">
        <v>1.2224070992789793</v>
      </c>
      <c r="G22" s="76">
        <v>53000</v>
      </c>
      <c r="H22" s="52">
        <v>44401</v>
      </c>
      <c r="I22" s="53">
        <f t="shared" si="1"/>
        <v>0.1936668093060967</v>
      </c>
      <c r="J22" s="54">
        <v>0.8215311859886445</v>
      </c>
    </row>
    <row r="23" spans="1:10" x14ac:dyDescent="0.2">
      <c r="A23" s="24" t="str">
        <f>VLOOKUP("&lt;Zeilentitel_11&gt;",Uebersetzungen!$B$4:$E$78,Uebersetzungen!$B$2+1,FALSE)</f>
        <v>Polen</v>
      </c>
      <c r="B23" s="5"/>
      <c r="C23" s="51">
        <v>1763</v>
      </c>
      <c r="D23" s="52">
        <v>2384</v>
      </c>
      <c r="E23" s="53">
        <f t="shared" si="0"/>
        <v>-0.26048657718120805</v>
      </c>
      <c r="F23" s="72">
        <v>-0.24412622191733835</v>
      </c>
      <c r="G23" s="76">
        <v>17668</v>
      </c>
      <c r="H23" s="52">
        <v>16121</v>
      </c>
      <c r="I23" s="53">
        <f t="shared" si="1"/>
        <v>9.5961788970907458E-2</v>
      </c>
      <c r="J23" s="54">
        <v>-0.42622578151893642</v>
      </c>
    </row>
    <row r="24" spans="1:10" x14ac:dyDescent="0.2">
      <c r="A24" s="24" t="str">
        <f>VLOOKUP("&lt;Zeilentitel_12&gt;",Uebersetzungen!$B$4:$E$78,Uebersetzungen!$B$2+1,FALSE)</f>
        <v>Tschechien</v>
      </c>
      <c r="B24" s="5"/>
      <c r="C24" s="51">
        <v>406</v>
      </c>
      <c r="D24" s="52">
        <v>1308</v>
      </c>
      <c r="E24" s="53">
        <f t="shared" si="0"/>
        <v>-0.68960244648318048</v>
      </c>
      <c r="F24" s="72">
        <v>-0.37015203226807325</v>
      </c>
      <c r="G24" s="76">
        <v>10064</v>
      </c>
      <c r="H24" s="52">
        <v>9151</v>
      </c>
      <c r="I24" s="53">
        <f t="shared" si="1"/>
        <v>9.9770516883400662E-2</v>
      </c>
      <c r="J24" s="54">
        <v>0.28027681660899639</v>
      </c>
    </row>
    <row r="25" spans="1:10" x14ac:dyDescent="0.2">
      <c r="A25" s="24" t="str">
        <f>VLOOKUP("&lt;Zeilentitel_13&gt;",Uebersetzungen!$B$4:$E$78,Uebersetzungen!$B$2+1,FALSE)</f>
        <v>Russland</v>
      </c>
      <c r="B25" s="5"/>
      <c r="C25" s="51">
        <v>129</v>
      </c>
      <c r="D25" s="52">
        <v>93</v>
      </c>
      <c r="E25" s="53">
        <f t="shared" si="0"/>
        <v>0.38709677419354849</v>
      </c>
      <c r="F25" s="72">
        <v>7.6794657762938145E-2</v>
      </c>
      <c r="G25" s="76">
        <v>6021</v>
      </c>
      <c r="H25" s="52">
        <v>6218</v>
      </c>
      <c r="I25" s="53">
        <f t="shared" si="1"/>
        <v>-3.168221293020268E-2</v>
      </c>
      <c r="J25" s="54">
        <v>-0.57222024866785082</v>
      </c>
    </row>
    <row r="26" spans="1:10" x14ac:dyDescent="0.2">
      <c r="A26" s="24" t="str">
        <f>VLOOKUP("&lt;Zeilentitel_14&gt;",Uebersetzungen!$B$4:$E$78,Uebersetzungen!$B$2+1,FALSE)</f>
        <v>Schweden</v>
      </c>
      <c r="B26" s="5"/>
      <c r="C26" s="51">
        <v>396</v>
      </c>
      <c r="D26" s="52">
        <v>757</v>
      </c>
      <c r="E26" s="53">
        <f t="shared" si="0"/>
        <v>-0.47688243064729197</v>
      </c>
      <c r="F26" s="72">
        <v>-0.26476049015967329</v>
      </c>
      <c r="G26" s="76">
        <v>8608</v>
      </c>
      <c r="H26" s="52">
        <v>8212</v>
      </c>
      <c r="I26" s="53">
        <f t="shared" si="1"/>
        <v>4.8222113979542236E-2</v>
      </c>
      <c r="J26" s="54">
        <v>0.10602867862465959</v>
      </c>
    </row>
    <row r="27" spans="1:10" x14ac:dyDescent="0.2">
      <c r="A27" s="24" t="str">
        <f>VLOOKUP("&lt;Zeilentitel_15&gt;",Uebersetzungen!$B$4:$E$78,Uebersetzungen!$B$2+1,FALSE)</f>
        <v>Norwegen</v>
      </c>
      <c r="B27" s="5"/>
      <c r="C27" s="51">
        <v>221</v>
      </c>
      <c r="D27" s="52">
        <v>297</v>
      </c>
      <c r="E27" s="53">
        <f t="shared" si="0"/>
        <v>-0.25589225589225584</v>
      </c>
      <c r="F27" s="72">
        <v>0.1474558670820354</v>
      </c>
      <c r="G27" s="76">
        <v>2874</v>
      </c>
      <c r="H27" s="52">
        <v>3479</v>
      </c>
      <c r="I27" s="53">
        <f t="shared" si="1"/>
        <v>-0.17390054613394657</v>
      </c>
      <c r="J27" s="54">
        <v>-6.8938706751328183E-2</v>
      </c>
    </row>
    <row r="28" spans="1:10" x14ac:dyDescent="0.2">
      <c r="A28" s="24" t="str">
        <f>VLOOKUP("&lt;Zeilentitel_16&gt;",Uebersetzungen!$B$4:$E$78,Uebersetzungen!$B$2+1,FALSE)</f>
        <v>Dänemark</v>
      </c>
      <c r="B28" s="5"/>
      <c r="C28" s="51">
        <v>267</v>
      </c>
      <c r="D28" s="52">
        <v>919</v>
      </c>
      <c r="E28" s="53">
        <f t="shared" si="0"/>
        <v>-0.70946681175190429</v>
      </c>
      <c r="F28" s="72">
        <v>-0.45465686274509809</v>
      </c>
      <c r="G28" s="76">
        <v>5237</v>
      </c>
      <c r="H28" s="52">
        <v>5497</v>
      </c>
      <c r="I28" s="53">
        <f t="shared" si="1"/>
        <v>-4.7298526468983026E-2</v>
      </c>
      <c r="J28" s="54">
        <v>-9.488420324922231E-2</v>
      </c>
    </row>
    <row r="29" spans="1:10" x14ac:dyDescent="0.2">
      <c r="A29" s="24" t="str">
        <f>VLOOKUP("&lt;Zeilentitel_17&gt;",Uebersetzungen!$B$4:$E$78,Uebersetzungen!$B$2+1,FALSE)</f>
        <v>Finnland</v>
      </c>
      <c r="B29" s="5"/>
      <c r="C29" s="51">
        <v>351</v>
      </c>
      <c r="D29" s="52">
        <v>551</v>
      </c>
      <c r="E29" s="53">
        <f t="shared" si="0"/>
        <v>-0.36297640653357532</v>
      </c>
      <c r="F29" s="72">
        <v>0.32653061224489788</v>
      </c>
      <c r="G29" s="76">
        <v>3367</v>
      </c>
      <c r="H29" s="52">
        <v>3740</v>
      </c>
      <c r="I29" s="53">
        <f t="shared" si="1"/>
        <v>-9.9732620320855614E-2</v>
      </c>
      <c r="J29" s="54">
        <v>4.4419629009243788E-2</v>
      </c>
    </row>
    <row r="30" spans="1:10" x14ac:dyDescent="0.2">
      <c r="A30" s="24" t="str">
        <f>VLOOKUP("&lt;Zeilentitel_18&gt;",Uebersetzungen!$B$4:$E$78,Uebersetzungen!$B$2+1,FALSE)</f>
        <v>Japan</v>
      </c>
      <c r="B30" s="5"/>
      <c r="C30" s="51">
        <v>526</v>
      </c>
      <c r="D30" s="52">
        <v>326</v>
      </c>
      <c r="E30" s="53">
        <f t="shared" si="0"/>
        <v>0.61349693251533743</v>
      </c>
      <c r="F30" s="72">
        <v>1.5509214354995153</v>
      </c>
      <c r="G30" s="76">
        <v>2634</v>
      </c>
      <c r="H30" s="52">
        <v>2068</v>
      </c>
      <c r="I30" s="53">
        <f t="shared" si="1"/>
        <v>0.27369439071566726</v>
      </c>
      <c r="J30" s="54">
        <v>0.67578572337447507</v>
      </c>
    </row>
    <row r="31" spans="1:10" x14ac:dyDescent="0.2">
      <c r="A31" s="24" t="str">
        <f>VLOOKUP("&lt;Zeilentitel_19&gt;",Uebersetzungen!$B$4:$E$78,Uebersetzungen!$B$2+1,FALSE)</f>
        <v>China / Hongkong / Taiwan (Chin. Taipei)</v>
      </c>
      <c r="B31" s="5"/>
      <c r="C31" s="51">
        <v>1760</v>
      </c>
      <c r="D31" s="52">
        <v>932</v>
      </c>
      <c r="E31" s="53">
        <f t="shared" si="0"/>
        <v>0.88841201716738194</v>
      </c>
      <c r="F31" s="72">
        <v>1.7010435850214853</v>
      </c>
      <c r="G31" s="76">
        <v>7684</v>
      </c>
      <c r="H31" s="52">
        <v>5147</v>
      </c>
      <c r="I31" s="53">
        <f t="shared" si="1"/>
        <v>0.4929084903827472</v>
      </c>
      <c r="J31" s="54">
        <v>0.40871924614087174</v>
      </c>
    </row>
    <row r="32" spans="1:10" x14ac:dyDescent="0.2">
      <c r="A32" s="24" t="str">
        <f>VLOOKUP("&lt;Zeilentitel_20&gt;",Uebersetzungen!$B$4:$E$78,Uebersetzungen!$B$2+1,FALSE)</f>
        <v xml:space="preserve">Indien </v>
      </c>
      <c r="B32" s="5"/>
      <c r="C32" s="59">
        <v>998</v>
      </c>
      <c r="D32" s="52">
        <v>885</v>
      </c>
      <c r="E32" s="53">
        <f t="shared" si="0"/>
        <v>0.12768361581920895</v>
      </c>
      <c r="F32" s="72">
        <v>1.8612385321100917</v>
      </c>
      <c r="G32" s="77">
        <v>3720</v>
      </c>
      <c r="H32" s="52">
        <v>3046</v>
      </c>
      <c r="I32" s="53">
        <f t="shared" si="1"/>
        <v>0.22127380170715694</v>
      </c>
      <c r="J32" s="54">
        <v>0.32771789563851805</v>
      </c>
    </row>
    <row r="33" spans="1:10" x14ac:dyDescent="0.2">
      <c r="A33" s="24" t="str">
        <f>VLOOKUP("&lt;Zeilentitel_21&gt;",Uebersetzungen!$B$4:$E$78,Uebersetzungen!$B$2+1,FALSE)</f>
        <v>Brasilien</v>
      </c>
      <c r="B33" s="5"/>
      <c r="C33" s="51">
        <v>1087</v>
      </c>
      <c r="D33" s="52">
        <v>704</v>
      </c>
      <c r="E33" s="53">
        <f t="shared" si="0"/>
        <v>0.54403409090909083</v>
      </c>
      <c r="F33" s="72">
        <v>2.238974970202622</v>
      </c>
      <c r="G33" s="76">
        <v>18771</v>
      </c>
      <c r="H33" s="52">
        <v>14315</v>
      </c>
      <c r="I33" s="53">
        <f t="shared" si="1"/>
        <v>0.31128187216206782</v>
      </c>
      <c r="J33" s="54">
        <v>0.80420991926182239</v>
      </c>
    </row>
    <row r="34" spans="1:10" x14ac:dyDescent="0.2">
      <c r="A34" s="24" t="str">
        <f>VLOOKUP("&lt;Zeilentitel_22&gt;",Uebersetzungen!$B$4:$E$78,Uebersetzungen!$B$2+1,FALSE)</f>
        <v>Golfstaaten</v>
      </c>
      <c r="B34" s="5"/>
      <c r="C34" s="59">
        <v>467</v>
      </c>
      <c r="D34" s="55">
        <v>325</v>
      </c>
      <c r="E34" s="53">
        <f t="shared" si="0"/>
        <v>0.43692307692307697</v>
      </c>
      <c r="F34" s="72">
        <v>1.0393013100436681</v>
      </c>
      <c r="G34" s="77">
        <v>12345</v>
      </c>
      <c r="H34" s="55">
        <v>8525</v>
      </c>
      <c r="I34" s="53">
        <f t="shared" si="1"/>
        <v>0.44809384164222865</v>
      </c>
      <c r="J34" s="54">
        <v>1.4588694578337247</v>
      </c>
    </row>
    <row r="35" spans="1:10" x14ac:dyDescent="0.2">
      <c r="A35" s="24" t="str">
        <f>VLOOKUP("&lt;Zeilentitel_23&gt;",Uebersetzungen!$B$4:$E$78,Uebersetzungen!$B$2+1,FALSE)</f>
        <v>Übrige Herkunftsländer</v>
      </c>
      <c r="B35" s="5"/>
      <c r="C35" s="56">
        <f>C36-SUM(C13:C34)</f>
        <v>10928</v>
      </c>
      <c r="D35" s="57">
        <f>D36-SUM(D13:D34)</f>
        <v>9676</v>
      </c>
      <c r="E35" s="53">
        <f t="shared" si="0"/>
        <v>0.12939231087226122</v>
      </c>
      <c r="F35" s="73" t="s">
        <v>50</v>
      </c>
      <c r="G35" s="78">
        <f>G36-SUM(G13:G34)</f>
        <v>109725</v>
      </c>
      <c r="H35" s="57">
        <f>H36-SUM(H13:H34)</f>
        <v>99391</v>
      </c>
      <c r="I35" s="53">
        <f t="shared" si="1"/>
        <v>0.10397319676831906</v>
      </c>
      <c r="J35" s="58" t="s">
        <v>50</v>
      </c>
    </row>
    <row r="36" spans="1:10" ht="13.5" thickBot="1" x14ac:dyDescent="0.25">
      <c r="A36" s="26" t="str">
        <f>VLOOKUP("&lt;Zeilentitel_24&gt;",Uebersetzungen!$B$4:$E$78,Uebersetzungen!$B$2+1,FALSE)</f>
        <v>Graubünden</v>
      </c>
      <c r="B36" s="25"/>
      <c r="C36" s="30">
        <f>C61</f>
        <v>162288</v>
      </c>
      <c r="D36" s="19">
        <f>D61</f>
        <v>204174</v>
      </c>
      <c r="E36" s="12">
        <f t="shared" si="0"/>
        <v>-0.20514854976637575</v>
      </c>
      <c r="F36" s="74">
        <f>F61</f>
        <v>-3.1103692108194747E-2</v>
      </c>
      <c r="G36" s="79">
        <f t="shared" ref="G36:H36" si="2">G61</f>
        <v>2345106</v>
      </c>
      <c r="H36" s="19">
        <f t="shared" si="2"/>
        <v>2268796</v>
      </c>
      <c r="I36" s="12">
        <f t="shared" si="1"/>
        <v>3.3634579750669413E-2</v>
      </c>
      <c r="J36" s="47">
        <f>J61</f>
        <v>0.13059067486607567</v>
      </c>
    </row>
    <row r="37" spans="1:10" x14ac:dyDescent="0.2">
      <c r="C37" s="15"/>
      <c r="D37" s="16"/>
      <c r="E37" s="28"/>
      <c r="F37" s="27"/>
      <c r="I37" s="15"/>
      <c r="J37" s="15"/>
    </row>
    <row r="38" spans="1:10" x14ac:dyDescent="0.2">
      <c r="C38" s="15"/>
    </row>
    <row r="39" spans="1:10" ht="18" x14ac:dyDescent="0.25">
      <c r="A39" s="2" t="str">
        <f>VLOOKUP("&lt;T4Titel2&gt;",Uebersetzungen!$B$4:$E$304,Uebersetzungen!$B$2+1,FALSE)</f>
        <v>Hotel- und Kurbetriebe: Logiernächte im April 2024, nach Destinationen</v>
      </c>
      <c r="B39" s="3"/>
      <c r="C39" s="3"/>
      <c r="D39" s="3"/>
      <c r="E39" s="3"/>
      <c r="F39" s="3"/>
    </row>
    <row r="40" spans="1:10" s="123" customFormat="1" x14ac:dyDescent="0.2">
      <c r="A40" s="120" t="str">
        <f>VLOOKUP("&lt;Titelprov&gt;",Uebersetzungen!$B$4:$E$304,Uebersetzungen!$B$2+1,FALSE)</f>
        <v>definitive Ergebnisse</v>
      </c>
      <c r="B40" s="121"/>
      <c r="C40" s="122"/>
      <c r="D40" s="122"/>
      <c r="E40" s="122"/>
      <c r="F40" s="122"/>
      <c r="G40" s="122"/>
    </row>
    <row r="41" spans="1:10" ht="13.5" thickBot="1" x14ac:dyDescent="0.25"/>
    <row r="42" spans="1:10" ht="51" x14ac:dyDescent="0.2">
      <c r="A42" s="8"/>
      <c r="B42" s="9"/>
      <c r="C42" s="20" t="str">
        <f>VLOOKUP("&lt;T4SpaltenTitel_1&gt;",Uebersetzungen!$B$4:$E$304,Uebersetzungen!$B$2+1,FALSE)</f>
        <v>April 2024</v>
      </c>
      <c r="D42" s="21" t="str">
        <f>VLOOKUP("&lt;T4SpaltenTitel_2&gt;",Uebersetzungen!$B$4:$E$304,Uebersetzungen!$B$2+1,FALSE)</f>
        <v>April 2023</v>
      </c>
      <c r="E42" s="22" t="str">
        <f>VLOOKUP("&lt;SpaltenTitel_3&gt;",Uebersetzungen!$B$4:$E$304,Uebersetzungen!$B$2+1,FALSE)</f>
        <v>Veränderung 24/23 in %</v>
      </c>
      <c r="F42" s="22" t="str">
        <f>VLOOKUP("&lt;SpaltenTitel_4&gt;",Uebersetzungen!$B$4:$E$304,Uebersetzungen!$B$2+1,FALSE)</f>
        <v>Veränderung zum
5-Jahresmittel 
in %</v>
      </c>
      <c r="G42" s="75" t="str">
        <f>VLOOKUP("&lt;T4SpaltenTitel_5&gt;",Uebersetzungen!$B$4:$E$304,Uebersetzungen!$B$2+1,FALSE)</f>
        <v>Januar-April 24</v>
      </c>
      <c r="H42" s="22" t="str">
        <f>VLOOKUP("&lt;T4SpaltenTitel_6&gt;",Uebersetzungen!$B$4:$E$304,Uebersetzungen!$B$2+1,FALSE)</f>
        <v>Januar-April 23</v>
      </c>
      <c r="I42" s="22" t="str">
        <f>VLOOKUP("&lt;SpaltenTitel_7&gt;",Uebersetzungen!$B$4:$E$304,Uebersetzungen!$B$2+1,FALSE)</f>
        <v>Veränderung 24/23 in %</v>
      </c>
      <c r="J42" s="23" t="str">
        <f>VLOOKUP("&lt;SpaltenTitel_8&gt;",Uebersetzungen!$B$4:$E$304,Uebersetzungen!$B$2+1,FALSE)</f>
        <v>Veränderung zum
5-Jahresmittel 
in %</v>
      </c>
    </row>
    <row r="43" spans="1:10" x14ac:dyDescent="0.2">
      <c r="A43" s="24" t="str">
        <f>VLOOKUP("&lt;Zeilentitel_25&gt;",Uebersetzungen!$B$4:$E$78,Uebersetzungen!$B$2+1,FALSE)</f>
        <v>Arosa</v>
      </c>
      <c r="B43" s="5"/>
      <c r="C43" s="13">
        <v>11970</v>
      </c>
      <c r="D43" s="17">
        <v>13463</v>
      </c>
      <c r="E43" s="10">
        <f>C43/D43-1</f>
        <v>-0.11089653123375176</v>
      </c>
      <c r="F43" s="80">
        <v>6.6084788029925123E-2</v>
      </c>
      <c r="G43" s="83">
        <v>235673</v>
      </c>
      <c r="H43" s="17">
        <v>225066</v>
      </c>
      <c r="I43" s="10">
        <f>G43/H43-1</f>
        <v>4.7128397892173934E-2</v>
      </c>
      <c r="J43" s="44">
        <v>0.17743835601381708</v>
      </c>
    </row>
    <row r="44" spans="1:10" x14ac:dyDescent="0.2">
      <c r="A44" s="24" t="str">
        <f>VLOOKUP("&lt;Zeilentitel_26&gt;",Uebersetzungen!$B$4:$E$78,Uebersetzungen!$B$2+1,FALSE)</f>
        <v>Bergün Filisur</v>
      </c>
      <c r="B44" s="5"/>
      <c r="C44" s="13">
        <v>409</v>
      </c>
      <c r="D44" s="17">
        <v>691</v>
      </c>
      <c r="E44" s="10">
        <f t="shared" ref="E44:E61" si="3">C44/D44-1</f>
        <v>-0.40810419681620835</v>
      </c>
      <c r="F44" s="80">
        <v>-0.45306231612730674</v>
      </c>
      <c r="G44" s="83">
        <v>20545</v>
      </c>
      <c r="H44" s="17">
        <v>22798</v>
      </c>
      <c r="I44" s="10">
        <f t="shared" ref="I44:I61" si="4">G44/H44-1</f>
        <v>-9.8824458285814543E-2</v>
      </c>
      <c r="J44" s="44">
        <v>-3.2220076310707002E-2</v>
      </c>
    </row>
    <row r="45" spans="1:10" x14ac:dyDescent="0.2">
      <c r="A45" s="24" t="str">
        <f>VLOOKUP("&lt;Zeilentitel_27&gt;",Uebersetzungen!$B$4:$E$78,Uebersetzungen!$B$2+1,FALSE)</f>
        <v>Bregaglia Engadin</v>
      </c>
      <c r="B45" s="5"/>
      <c r="C45" s="13">
        <v>629</v>
      </c>
      <c r="D45" s="17">
        <v>1189</v>
      </c>
      <c r="E45" s="10">
        <f t="shared" si="3"/>
        <v>-0.47098402018502938</v>
      </c>
      <c r="F45" s="80">
        <v>-0.53729586582315725</v>
      </c>
      <c r="G45" s="83">
        <v>16474</v>
      </c>
      <c r="H45" s="17">
        <v>15081</v>
      </c>
      <c r="I45" s="10">
        <f t="shared" si="4"/>
        <v>9.2367880114050838E-2</v>
      </c>
      <c r="J45" s="44">
        <v>7.4400646962147654E-2</v>
      </c>
    </row>
    <row r="46" spans="1:10" x14ac:dyDescent="0.2">
      <c r="A46" s="24" t="str">
        <f>VLOOKUP("&lt;Zeilentitel_28&gt;",Uebersetzungen!$B$4:$E$78,Uebersetzungen!$B$2+1,FALSE)</f>
        <v>Bündner Herrschaft</v>
      </c>
      <c r="B46" s="5"/>
      <c r="C46" s="13">
        <v>4356</v>
      </c>
      <c r="D46" s="17">
        <v>3640</v>
      </c>
      <c r="E46" s="10">
        <f t="shared" si="3"/>
        <v>0.19670329670329667</v>
      </c>
      <c r="F46" s="80">
        <v>0.4740119112073633</v>
      </c>
      <c r="G46" s="83">
        <v>16415</v>
      </c>
      <c r="H46" s="17">
        <v>14482</v>
      </c>
      <c r="I46" s="10">
        <f t="shared" si="4"/>
        <v>0.13347603922110207</v>
      </c>
      <c r="J46" s="44">
        <v>0.40616433662280671</v>
      </c>
    </row>
    <row r="47" spans="1:10" x14ac:dyDescent="0.2">
      <c r="A47" s="24" t="str">
        <f>VLOOKUP("&lt;Zeilentitel_29&gt;",Uebersetzungen!$B$4:$E$78,Uebersetzungen!$B$2+1,FALSE)</f>
        <v>Chur</v>
      </c>
      <c r="B47" s="5"/>
      <c r="C47" s="13">
        <v>17779</v>
      </c>
      <c r="D47" s="17">
        <v>16753</v>
      </c>
      <c r="E47" s="10">
        <f t="shared" si="3"/>
        <v>6.1242762490300251E-2</v>
      </c>
      <c r="F47" s="80">
        <v>0.64791265015571708</v>
      </c>
      <c r="G47" s="83">
        <v>73906</v>
      </c>
      <c r="H47" s="17">
        <v>64450</v>
      </c>
      <c r="I47" s="10">
        <f t="shared" si="4"/>
        <v>0.14671838634600465</v>
      </c>
      <c r="J47" s="44">
        <v>0.4731407841495745</v>
      </c>
    </row>
    <row r="48" spans="1:10" x14ac:dyDescent="0.2">
      <c r="A48" s="24" t="str">
        <f>VLOOKUP("&lt;Zeilentitel_30&gt;",Uebersetzungen!$B$4:$E$78,Uebersetzungen!$B$2+1,FALSE)</f>
        <v>Davos Klosters</v>
      </c>
      <c r="B48" s="5"/>
      <c r="C48" s="13">
        <v>22049</v>
      </c>
      <c r="D48" s="17">
        <v>28985</v>
      </c>
      <c r="E48" s="10">
        <f t="shared" si="3"/>
        <v>-0.23929618768328442</v>
      </c>
      <c r="F48" s="80">
        <v>-0.14866096250077221</v>
      </c>
      <c r="G48" s="83">
        <v>421233</v>
      </c>
      <c r="H48" s="17">
        <v>406837</v>
      </c>
      <c r="I48" s="10">
        <f t="shared" si="4"/>
        <v>3.5385178830833919E-2</v>
      </c>
      <c r="J48" s="44">
        <v>8.2296941337523855E-2</v>
      </c>
    </row>
    <row r="49" spans="1:10" x14ac:dyDescent="0.2">
      <c r="A49" s="24" t="str">
        <f>VLOOKUP("&lt;Zeilentitel_31&gt;",Uebersetzungen!$B$4:$E$78,Uebersetzungen!$B$2+1,FALSE)</f>
        <v>Disentis Sedrun</v>
      </c>
      <c r="B49" s="5"/>
      <c r="C49" s="13">
        <v>1747</v>
      </c>
      <c r="D49" s="17">
        <v>3495</v>
      </c>
      <c r="E49" s="10">
        <f t="shared" si="3"/>
        <v>-0.50014306151645205</v>
      </c>
      <c r="F49" s="80">
        <v>-0.52105494023467491</v>
      </c>
      <c r="G49" s="83">
        <v>65088</v>
      </c>
      <c r="H49" s="17">
        <v>65540</v>
      </c>
      <c r="I49" s="10">
        <f t="shared" si="4"/>
        <v>-6.8965517241379448E-3</v>
      </c>
      <c r="J49" s="44">
        <v>0.24344254465565007</v>
      </c>
    </row>
    <row r="50" spans="1:10" x14ac:dyDescent="0.2">
      <c r="A50" s="24" t="str">
        <f>VLOOKUP("&lt;Zeilentitel_32&gt;",Uebersetzungen!$B$4:$E$78,Uebersetzungen!$B$2+1,FALSE)</f>
        <v>Scuol Samnaun Val Müstair</v>
      </c>
      <c r="B50" s="5"/>
      <c r="C50" s="13">
        <v>19951</v>
      </c>
      <c r="D50" s="17">
        <v>26012</v>
      </c>
      <c r="E50" s="10">
        <f t="shared" si="3"/>
        <v>-0.23300784253421503</v>
      </c>
      <c r="F50" s="80">
        <v>-0.14467366327125553</v>
      </c>
      <c r="G50" s="83">
        <v>221035</v>
      </c>
      <c r="H50" s="17">
        <v>214873</v>
      </c>
      <c r="I50" s="10">
        <f t="shared" si="4"/>
        <v>2.8677404792598393E-2</v>
      </c>
      <c r="J50" s="44">
        <v>0.10427391248741014</v>
      </c>
    </row>
    <row r="51" spans="1:10" x14ac:dyDescent="0.2">
      <c r="A51" s="24" t="str">
        <f>VLOOKUP("&lt;Zeilentitel_33&gt;",Uebersetzungen!$B$4:$E$78,Uebersetzungen!$B$2+1,FALSE)</f>
        <v>Engadin St. Moritz</v>
      </c>
      <c r="B51" s="5"/>
      <c r="C51" s="13">
        <v>42850</v>
      </c>
      <c r="D51" s="17">
        <v>55458</v>
      </c>
      <c r="E51" s="10">
        <f t="shared" si="3"/>
        <v>-0.22734321468498686</v>
      </c>
      <c r="F51" s="80">
        <v>7.7466984500568437E-2</v>
      </c>
      <c r="G51" s="83">
        <v>705384</v>
      </c>
      <c r="H51" s="17">
        <v>674719</v>
      </c>
      <c r="I51" s="10">
        <f t="shared" si="4"/>
        <v>4.5448549692538753E-2</v>
      </c>
      <c r="J51" s="44">
        <v>0.18117973294752399</v>
      </c>
    </row>
    <row r="52" spans="1:10" x14ac:dyDescent="0.2">
      <c r="A52" s="24" t="str">
        <f>VLOOKUP("&lt;Zeilentitel_34&gt;",Uebersetzungen!$B$4:$E$78,Uebersetzungen!$B$2+1,FALSE)</f>
        <v>Flims Laax</v>
      </c>
      <c r="B52" s="5"/>
      <c r="C52" s="13">
        <v>17330</v>
      </c>
      <c r="D52" s="17">
        <v>27552</v>
      </c>
      <c r="E52" s="10">
        <f t="shared" si="3"/>
        <v>-0.37100754936120794</v>
      </c>
      <c r="F52" s="80">
        <v>-0.26997767387000293</v>
      </c>
      <c r="G52" s="83">
        <v>227778</v>
      </c>
      <c r="H52" s="17">
        <v>235638</v>
      </c>
      <c r="I52" s="10">
        <f t="shared" si="4"/>
        <v>-3.335624984085761E-2</v>
      </c>
      <c r="J52" s="44">
        <v>8.5723647505777656E-3</v>
      </c>
    </row>
    <row r="53" spans="1:10" x14ac:dyDescent="0.2">
      <c r="A53" s="24" t="str">
        <f>VLOOKUP("&lt;Zeilentitel_35&gt;",Uebersetzungen!$B$4:$E$78,Uebersetzungen!$B$2+1,FALSE)</f>
        <v>Lenzerheide</v>
      </c>
      <c r="B53" s="5"/>
      <c r="C53" s="13">
        <v>4450</v>
      </c>
      <c r="D53" s="17">
        <v>5397</v>
      </c>
      <c r="E53" s="10">
        <f t="shared" si="3"/>
        <v>-0.17546785251065411</v>
      </c>
      <c r="F53" s="80">
        <v>-0.27930554205940472</v>
      </c>
      <c r="G53" s="83">
        <v>145880</v>
      </c>
      <c r="H53" s="17">
        <v>142511</v>
      </c>
      <c r="I53" s="10">
        <f t="shared" si="4"/>
        <v>2.3640280399407798E-2</v>
      </c>
      <c r="J53" s="44">
        <v>4.5932706978238036E-2</v>
      </c>
    </row>
    <row r="54" spans="1:10" x14ac:dyDescent="0.2">
      <c r="A54" s="24" t="str">
        <f>VLOOKUP("&lt;Zeilentitel_36&gt;",Uebersetzungen!$B$4:$E$78,Uebersetzungen!$B$2+1,FALSE)</f>
        <v>Prättigau</v>
      </c>
      <c r="B54" s="5"/>
      <c r="C54" s="13">
        <v>4071</v>
      </c>
      <c r="D54" s="17">
        <v>4255</v>
      </c>
      <c r="E54" s="10">
        <f t="shared" si="3"/>
        <v>-4.3243243243243246E-2</v>
      </c>
      <c r="F54" s="80">
        <v>0.25276957163958635</v>
      </c>
      <c r="G54" s="83">
        <v>35597</v>
      </c>
      <c r="H54" s="17">
        <v>37527</v>
      </c>
      <c r="I54" s="10">
        <f t="shared" si="4"/>
        <v>-5.1429637327790712E-2</v>
      </c>
      <c r="J54" s="44">
        <v>0.23162782329495113</v>
      </c>
    </row>
    <row r="55" spans="1:10" x14ac:dyDescent="0.2">
      <c r="A55" s="24" t="str">
        <f>VLOOKUP("&lt;Zeilentitel_37&gt;",Uebersetzungen!$B$4:$E$78,Uebersetzungen!$B$2+1,FALSE)</f>
        <v>San Bernardino, Mesolcina/Calanca</v>
      </c>
      <c r="B55" s="5"/>
      <c r="C55" s="13">
        <v>1261</v>
      </c>
      <c r="D55" s="17">
        <v>1233</v>
      </c>
      <c r="E55" s="10">
        <f t="shared" si="3"/>
        <v>2.2708840227088301E-2</v>
      </c>
      <c r="F55" s="80">
        <v>0.37124836885602441</v>
      </c>
      <c r="G55" s="83">
        <v>8260</v>
      </c>
      <c r="H55" s="17">
        <v>6789</v>
      </c>
      <c r="I55" s="10">
        <f t="shared" si="4"/>
        <v>0.21667403152157894</v>
      </c>
      <c r="J55" s="44">
        <v>0.2011051330522029</v>
      </c>
    </row>
    <row r="56" spans="1:10" x14ac:dyDescent="0.2">
      <c r="A56" s="24" t="str">
        <f>VLOOKUP("&lt;Zeilentitel_38&gt;",Uebersetzungen!$B$4:$E$78,Uebersetzungen!$B$2+1,FALSE)</f>
        <v>Val Surses</v>
      </c>
      <c r="B56" s="5"/>
      <c r="C56" s="13">
        <v>2366</v>
      </c>
      <c r="D56" s="17">
        <v>2004</v>
      </c>
      <c r="E56" s="10">
        <f t="shared" si="3"/>
        <v>0.18063872255489022</v>
      </c>
      <c r="F56" s="80">
        <v>0.10077230855122354</v>
      </c>
      <c r="G56" s="83">
        <v>41147</v>
      </c>
      <c r="H56" s="17">
        <v>36388</v>
      </c>
      <c r="I56" s="10">
        <f t="shared" si="4"/>
        <v>0.13078487413433004</v>
      </c>
      <c r="J56" s="44">
        <v>0.27054951027012319</v>
      </c>
    </row>
    <row r="57" spans="1:10" x14ac:dyDescent="0.2">
      <c r="A57" s="24" t="str">
        <f>VLOOKUP("&lt;Zeilentitel_39&gt;",Uebersetzungen!$B$4:$E$78,Uebersetzungen!$B$2+1,FALSE)</f>
        <v>Surselva</v>
      </c>
      <c r="B57" s="5"/>
      <c r="C57" s="13">
        <v>2022</v>
      </c>
      <c r="D57" s="17">
        <v>3198</v>
      </c>
      <c r="E57" s="10">
        <f t="shared" si="3"/>
        <v>-0.36772983114446534</v>
      </c>
      <c r="F57" s="80">
        <v>-0.15939136941880772</v>
      </c>
      <c r="G57" s="83">
        <v>42068</v>
      </c>
      <c r="H57" s="17">
        <v>41811</v>
      </c>
      <c r="I57" s="10">
        <f t="shared" si="4"/>
        <v>6.1467078041663736E-3</v>
      </c>
      <c r="J57" s="44">
        <v>-1.4704022409698259E-2</v>
      </c>
    </row>
    <row r="58" spans="1:10" x14ac:dyDescent="0.2">
      <c r="A58" s="24" t="str">
        <f>VLOOKUP("&lt;Zeilentitel_40&gt;",Uebersetzungen!$B$4:$E$78,Uebersetzungen!$B$2+1,FALSE)</f>
        <v>Valposchiavo</v>
      </c>
      <c r="B58" s="5"/>
      <c r="C58" s="13">
        <v>3174</v>
      </c>
      <c r="D58" s="17">
        <v>3446</v>
      </c>
      <c r="E58" s="10">
        <f t="shared" si="3"/>
        <v>-7.8932095182820627E-2</v>
      </c>
      <c r="F58" s="80">
        <v>0.21833256563795489</v>
      </c>
      <c r="G58" s="83">
        <v>12699</v>
      </c>
      <c r="H58" s="17">
        <v>11413</v>
      </c>
      <c r="I58" s="10">
        <f t="shared" si="4"/>
        <v>0.11267852448961713</v>
      </c>
      <c r="J58" s="44">
        <v>0.43229342897746492</v>
      </c>
    </row>
    <row r="59" spans="1:10" x14ac:dyDescent="0.2">
      <c r="A59" s="24" t="str">
        <f>VLOOKUP("&lt;Zeilentitel_41&gt;",Uebersetzungen!$B$4:$E$78,Uebersetzungen!$B$2+1,FALSE)</f>
        <v>Vals</v>
      </c>
      <c r="B59" s="5"/>
      <c r="C59" s="13">
        <v>2357</v>
      </c>
      <c r="D59" s="17">
        <v>3642</v>
      </c>
      <c r="E59" s="10">
        <f t="shared" si="3"/>
        <v>-0.3528281164195497</v>
      </c>
      <c r="F59" s="80">
        <v>-0.32741696153407152</v>
      </c>
      <c r="G59" s="83">
        <v>25845</v>
      </c>
      <c r="H59" s="17">
        <v>26243</v>
      </c>
      <c r="I59" s="10">
        <f t="shared" si="4"/>
        <v>-1.5165949014975477E-2</v>
      </c>
      <c r="J59" s="44">
        <v>7.8145106572142797E-3</v>
      </c>
    </row>
    <row r="60" spans="1:10" x14ac:dyDescent="0.2">
      <c r="A60" s="24" t="str">
        <f>VLOOKUP("&lt;Zeilentitel_42&gt;",Uebersetzungen!$B$4:$E$78,Uebersetzungen!$B$2+1,FALSE)</f>
        <v>Viamala</v>
      </c>
      <c r="B60" s="7"/>
      <c r="C60" s="14">
        <v>3517</v>
      </c>
      <c r="D60" s="18">
        <v>3761</v>
      </c>
      <c r="E60" s="11">
        <f t="shared" si="3"/>
        <v>-6.4876362669502807E-2</v>
      </c>
      <c r="F60" s="81">
        <v>0.16080269324707896</v>
      </c>
      <c r="G60" s="84">
        <v>30079</v>
      </c>
      <c r="H60" s="18">
        <v>26630</v>
      </c>
      <c r="I60" s="11">
        <f t="shared" si="4"/>
        <v>0.12951558392790097</v>
      </c>
      <c r="J60" s="46">
        <v>0.15312365822241314</v>
      </c>
    </row>
    <row r="61" spans="1:10" ht="13.5" thickBot="1" x14ac:dyDescent="0.25">
      <c r="A61" s="26" t="str">
        <f>VLOOKUP("&lt;Zeilentitel_43&gt;",Uebersetzungen!$B$4:$E$78,Uebersetzungen!$B$2+1,FALSE)</f>
        <v>Graubünden</v>
      </c>
      <c r="B61" s="6"/>
      <c r="C61" s="30">
        <v>162288</v>
      </c>
      <c r="D61" s="40">
        <v>204174</v>
      </c>
      <c r="E61" s="65">
        <f t="shared" si="3"/>
        <v>-0.20514854976637575</v>
      </c>
      <c r="F61" s="82">
        <v>-3.1103692108194747E-2</v>
      </c>
      <c r="G61" s="79">
        <v>2345106</v>
      </c>
      <c r="H61" s="40">
        <v>2268796</v>
      </c>
      <c r="I61" s="65">
        <f t="shared" si="4"/>
        <v>3.3634579750669413E-2</v>
      </c>
      <c r="J61" s="66">
        <v>0.13059067486607567</v>
      </c>
    </row>
    <row r="63" spans="1:10" x14ac:dyDescent="0.2">
      <c r="A63" s="4" t="str">
        <f>VLOOKUP("&lt;Legende_1&gt;",Uebersetzungen!$B$4:$E$80,Uebersetzungen!$B$2+1,FALSE)</f>
        <v>Aktuelle Zuordnung der politischen Gemeinden zu Destinationen:</v>
      </c>
      <c r="E63" s="67" t="s">
        <v>214</v>
      </c>
      <c r="F63" s="49"/>
    </row>
    <row r="65" spans="1:10" ht="10.5" customHeight="1" x14ac:dyDescent="0.2"/>
    <row r="66" spans="1:10" ht="18" x14ac:dyDescent="0.25">
      <c r="A66" s="2" t="str">
        <f>VLOOKUP("&lt;T4Titel3&gt;",Uebersetzungen!$B$4:$E$304,Uebersetzungen!$B$2+1,FALSE)</f>
        <v>Hotel- und Kurbetriebe: Logiernächte im April 2024, nach Schweizer Tourismusregionen</v>
      </c>
      <c r="B66" s="3"/>
      <c r="C66" s="3"/>
      <c r="D66" s="3"/>
      <c r="E66" s="3"/>
      <c r="F66" s="3"/>
    </row>
    <row r="67" spans="1:10" s="123" customFormat="1" x14ac:dyDescent="0.2">
      <c r="A67" s="120" t="str">
        <f>VLOOKUP("&lt;Titelprov&gt;",Uebersetzungen!$B$4:$E$304,Uebersetzungen!$B$2+1,FALSE)</f>
        <v>definitive Ergebnisse</v>
      </c>
      <c r="B67" s="121"/>
      <c r="C67" s="122"/>
      <c r="D67" s="122"/>
      <c r="E67" s="122"/>
      <c r="F67" s="122"/>
      <c r="G67" s="122"/>
    </row>
    <row r="68" spans="1:10" ht="18.75" customHeight="1" thickBot="1" x14ac:dyDescent="0.3">
      <c r="A68" s="50"/>
    </row>
    <row r="69" spans="1:10" ht="51" x14ac:dyDescent="0.2">
      <c r="A69" s="8"/>
      <c r="B69" s="9"/>
      <c r="C69" s="20" t="str">
        <f>VLOOKUP("&lt;T4SpaltenTitel_1&gt;",Uebersetzungen!$B$4:$E$304,Uebersetzungen!$B$2+1,FALSE)</f>
        <v>April 2024</v>
      </c>
      <c r="D69" s="21" t="str">
        <f>VLOOKUP("&lt;T4SpaltenTitel_2&gt;",Uebersetzungen!$B$4:$E$304,Uebersetzungen!$B$2+1,FALSE)</f>
        <v>April 2023</v>
      </c>
      <c r="E69" s="22" t="str">
        <f>VLOOKUP("&lt;SpaltenTitel_3&gt;",Uebersetzungen!$B$4:$E$304,Uebersetzungen!$B$2+1,FALSE)</f>
        <v>Veränderung 24/23 in %</v>
      </c>
      <c r="F69" s="22" t="str">
        <f>VLOOKUP("&lt;SpaltenTitel_4&gt;",Uebersetzungen!$B$4:$E$304,Uebersetzungen!$B$2+1,FALSE)</f>
        <v>Veränderung zum
5-Jahresmittel 
in %</v>
      </c>
      <c r="G69" s="75" t="str">
        <f>VLOOKUP("&lt;T4SpaltenTitel_5&gt;",Uebersetzungen!$B$4:$E$304,Uebersetzungen!$B$2+1,FALSE)</f>
        <v>Januar-April 24</v>
      </c>
      <c r="H69" s="22" t="str">
        <f>VLOOKUP("&lt;T4SpaltenTitel_6&gt;",Uebersetzungen!$B$4:$E$304,Uebersetzungen!$B$2+1,FALSE)</f>
        <v>Januar-April 23</v>
      </c>
      <c r="I69" s="22" t="str">
        <f>VLOOKUP("&lt;SpaltenTitel_7&gt;",Uebersetzungen!$B$4:$E$304,Uebersetzungen!$B$2+1,FALSE)</f>
        <v>Veränderung 24/23 in %</v>
      </c>
      <c r="J69" s="23" t="str">
        <f>VLOOKUP("&lt;SpaltenTitel_8&gt;",Uebersetzungen!$B$4:$E$304,Uebersetzungen!$B$2+1,FALSE)</f>
        <v>Veränderung zum
5-Jahresmittel 
in %</v>
      </c>
    </row>
    <row r="70" spans="1:10" x14ac:dyDescent="0.2">
      <c r="A70" s="24" t="str">
        <f>VLOOKUP("&lt;Zeilentitel_44&gt;",Uebersetzungen!$B$4:$E$78,Uebersetzungen!$B$2+1,FALSE)</f>
        <v>Aargau und Solothurn Region</v>
      </c>
      <c r="B70" s="5"/>
      <c r="C70" s="13">
        <v>94389</v>
      </c>
      <c r="D70" s="17">
        <v>89765</v>
      </c>
      <c r="E70" s="10">
        <f>C70/D70-1</f>
        <v>5.1512282069849036E-2</v>
      </c>
      <c r="F70" s="80">
        <v>0.42474822489494257</v>
      </c>
      <c r="G70" s="83">
        <v>324927</v>
      </c>
      <c r="H70" s="17">
        <v>308932</v>
      </c>
      <c r="I70" s="10">
        <f>G70/H70-1</f>
        <v>5.177514792899407E-2</v>
      </c>
      <c r="J70" s="44">
        <v>0.3425725833842248</v>
      </c>
    </row>
    <row r="71" spans="1:10" x14ac:dyDescent="0.2">
      <c r="A71" s="24" t="str">
        <f>VLOOKUP("&lt;Zeilentitel_45&gt;",Uebersetzungen!$B$4:$E$78,Uebersetzungen!$B$2+1,FALSE)</f>
        <v>Basel Region</v>
      </c>
      <c r="B71" s="5"/>
      <c r="C71" s="13">
        <v>132856</v>
      </c>
      <c r="D71" s="17">
        <v>141172</v>
      </c>
      <c r="E71" s="10">
        <f t="shared" ref="E71:E83" si="5">C71/D71-1</f>
        <v>-5.8906865384070528E-2</v>
      </c>
      <c r="F71" s="80">
        <v>0.38646718859902696</v>
      </c>
      <c r="G71" s="83">
        <v>467123</v>
      </c>
      <c r="H71" s="17">
        <v>463601</v>
      </c>
      <c r="I71" s="10">
        <f t="shared" ref="I71:I83" si="6">G71/H71-1</f>
        <v>7.5970500495037285E-3</v>
      </c>
      <c r="J71" s="44">
        <v>0.37100400333415506</v>
      </c>
    </row>
    <row r="72" spans="1:10" x14ac:dyDescent="0.2">
      <c r="A72" s="24" t="str">
        <f>VLOOKUP("&lt;Zeilentitel_46&gt;",Uebersetzungen!$B$4:$E$78,Uebersetzungen!$B$2+1,FALSE)</f>
        <v>Bern Region</v>
      </c>
      <c r="B72" s="5"/>
      <c r="C72" s="13">
        <v>358072</v>
      </c>
      <c r="D72" s="17">
        <v>365292</v>
      </c>
      <c r="E72" s="10">
        <f t="shared" si="5"/>
        <v>-1.9765009909880282E-2</v>
      </c>
      <c r="F72" s="80">
        <v>0.44247068908841292</v>
      </c>
      <c r="G72" s="83">
        <v>1621620</v>
      </c>
      <c r="H72" s="17">
        <v>1579593</v>
      </c>
      <c r="I72" s="10">
        <f t="shared" si="6"/>
        <v>2.6606220716349105E-2</v>
      </c>
      <c r="J72" s="44">
        <v>0.27705820324158981</v>
      </c>
    </row>
    <row r="73" spans="1:10" x14ac:dyDescent="0.2">
      <c r="A73" s="24" t="str">
        <f>VLOOKUP("&lt;Zeilentitel_47&gt;",Uebersetzungen!$B$4:$E$78,Uebersetzungen!$B$2+1,FALSE)</f>
        <v>Fribourg Region</v>
      </c>
      <c r="B73" s="5"/>
      <c r="C73" s="13">
        <v>39012</v>
      </c>
      <c r="D73" s="17">
        <v>36837</v>
      </c>
      <c r="E73" s="10">
        <f t="shared" si="5"/>
        <v>5.9043896082742853E-2</v>
      </c>
      <c r="F73" s="80">
        <v>0.36017516456543586</v>
      </c>
      <c r="G73" s="83">
        <v>132755</v>
      </c>
      <c r="H73" s="17">
        <v>125376</v>
      </c>
      <c r="I73" s="10">
        <f t="shared" si="6"/>
        <v>5.8854964267483378E-2</v>
      </c>
      <c r="J73" s="44">
        <v>0.31822225929324088</v>
      </c>
    </row>
    <row r="74" spans="1:10" x14ac:dyDescent="0.2">
      <c r="A74" s="24" t="str">
        <f>VLOOKUP("&lt;Zeilentitel_48&gt;",Uebersetzungen!$B$4:$E$78,Uebersetzungen!$B$2+1,FALSE)</f>
        <v>Genf</v>
      </c>
      <c r="B74" s="5"/>
      <c r="C74" s="13">
        <v>291380</v>
      </c>
      <c r="D74" s="17">
        <v>252371</v>
      </c>
      <c r="E74" s="10">
        <f t="shared" si="5"/>
        <v>0.15457005757396858</v>
      </c>
      <c r="F74" s="80">
        <v>0.84533814311028577</v>
      </c>
      <c r="G74" s="83">
        <v>1067284</v>
      </c>
      <c r="H74" s="17">
        <v>989798</v>
      </c>
      <c r="I74" s="10">
        <f t="shared" si="6"/>
        <v>7.8284660102364345E-2</v>
      </c>
      <c r="J74" s="44">
        <v>0.55574362686548473</v>
      </c>
    </row>
    <row r="75" spans="1:10" x14ac:dyDescent="0.2">
      <c r="A75" s="110" t="str">
        <f>VLOOKUP("&lt;Zeilentitel_49&gt;",Uebersetzungen!$B$4:$E$78,Uebersetzungen!$B$2+1,FALSE)</f>
        <v>Graubünden</v>
      </c>
      <c r="B75" s="60"/>
      <c r="C75" s="61">
        <v>162288</v>
      </c>
      <c r="D75" s="62">
        <v>204174</v>
      </c>
      <c r="E75" s="63">
        <f t="shared" si="5"/>
        <v>-0.20514854976637575</v>
      </c>
      <c r="F75" s="85">
        <v>-3.1103692108194747E-2</v>
      </c>
      <c r="G75" s="87">
        <v>2345106</v>
      </c>
      <c r="H75" s="62">
        <v>2268796</v>
      </c>
      <c r="I75" s="63">
        <f t="shared" si="6"/>
        <v>3.3634579750669413E-2</v>
      </c>
      <c r="J75" s="64">
        <v>0.13059067486607567</v>
      </c>
    </row>
    <row r="76" spans="1:10" x14ac:dyDescent="0.2">
      <c r="A76" s="24" t="str">
        <f>VLOOKUP("&lt;Zeilentitel_50&gt;",Uebersetzungen!$B$4:$E$78,Uebersetzungen!$B$2+1,FALSE)</f>
        <v>Jura &amp; Drei-Seen-Land</v>
      </c>
      <c r="B76" s="5"/>
      <c r="C76" s="13">
        <v>47560</v>
      </c>
      <c r="D76" s="17">
        <v>47544</v>
      </c>
      <c r="E76" s="10">
        <f t="shared" si="5"/>
        <v>3.3653037186609502E-4</v>
      </c>
      <c r="F76" s="80">
        <v>0.22754491017964074</v>
      </c>
      <c r="G76" s="83">
        <v>149180</v>
      </c>
      <c r="H76" s="17">
        <v>148813</v>
      </c>
      <c r="I76" s="10">
        <f t="shared" si="6"/>
        <v>2.4661823899794211E-3</v>
      </c>
      <c r="J76" s="44">
        <v>0.20935903484750473</v>
      </c>
    </row>
    <row r="77" spans="1:10" x14ac:dyDescent="0.2">
      <c r="A77" s="24" t="str">
        <f>VLOOKUP("&lt;Zeilentitel_51&gt;",Uebersetzungen!$B$4:$E$78,Uebersetzungen!$B$2+1,FALSE)</f>
        <v>Luzern / Vierwaldstättersee</v>
      </c>
      <c r="B77" s="5"/>
      <c r="C77" s="13">
        <v>281891</v>
      </c>
      <c r="D77" s="17">
        <v>283078</v>
      </c>
      <c r="E77" s="10">
        <f t="shared" si="5"/>
        <v>-4.1931905693837201E-3</v>
      </c>
      <c r="F77" s="80">
        <v>0.33673146156501699</v>
      </c>
      <c r="G77" s="83">
        <v>1043932</v>
      </c>
      <c r="H77" s="17">
        <v>1022059</v>
      </c>
      <c r="I77" s="10">
        <f t="shared" si="6"/>
        <v>2.1400917168187039E-2</v>
      </c>
      <c r="J77" s="44">
        <v>0.26868299939113838</v>
      </c>
    </row>
    <row r="78" spans="1:10" x14ac:dyDescent="0.2">
      <c r="A78" s="24" t="str">
        <f>VLOOKUP("&lt;Zeilentitel_52&gt;",Uebersetzungen!$B$4:$E$78,Uebersetzungen!$B$2+1,FALSE)</f>
        <v>Ostschweiz</v>
      </c>
      <c r="B78" s="5"/>
      <c r="C78" s="13">
        <v>142650</v>
      </c>
      <c r="D78" s="17">
        <v>141086</v>
      </c>
      <c r="E78" s="10">
        <f t="shared" si="5"/>
        <v>1.1085437251038277E-2</v>
      </c>
      <c r="F78" s="80">
        <v>0.22580611897666469</v>
      </c>
      <c r="G78" s="83">
        <v>541942</v>
      </c>
      <c r="H78" s="17">
        <v>536038</v>
      </c>
      <c r="I78" s="10">
        <f t="shared" si="6"/>
        <v>1.1014144519605029E-2</v>
      </c>
      <c r="J78" s="44">
        <v>0.19088658909400302</v>
      </c>
    </row>
    <row r="79" spans="1:10" x14ac:dyDescent="0.2">
      <c r="A79" s="24" t="str">
        <f>VLOOKUP("&lt;Zeilentitel_53&gt;",Uebersetzungen!$B$4:$E$78,Uebersetzungen!$B$2+1,FALSE)</f>
        <v>Tessin</v>
      </c>
      <c r="B79" s="5"/>
      <c r="C79" s="13">
        <v>218002</v>
      </c>
      <c r="D79" s="17">
        <v>254964</v>
      </c>
      <c r="E79" s="10">
        <f t="shared" si="5"/>
        <v>-0.1449694858882038</v>
      </c>
      <c r="F79" s="80">
        <v>7.5854775911348149E-3</v>
      </c>
      <c r="G79" s="83">
        <v>490407</v>
      </c>
      <c r="H79" s="17">
        <v>541349</v>
      </c>
      <c r="I79" s="10">
        <f t="shared" si="6"/>
        <v>-9.4101956408897069E-2</v>
      </c>
      <c r="J79" s="44">
        <v>4.8897069674945115E-2</v>
      </c>
    </row>
    <row r="80" spans="1:10" x14ac:dyDescent="0.2">
      <c r="A80" s="24" t="str">
        <f>VLOOKUP("&lt;Zeilentitel_54&gt;",Uebersetzungen!$B$4:$E$78,Uebersetzungen!$B$2+1,FALSE)</f>
        <v>Waadt</v>
      </c>
      <c r="B80" s="5"/>
      <c r="C80" s="13">
        <v>203396</v>
      </c>
      <c r="D80" s="17">
        <v>203722</v>
      </c>
      <c r="E80" s="10">
        <f t="shared" si="5"/>
        <v>-1.6002199075210166E-3</v>
      </c>
      <c r="F80" s="80">
        <v>0.30074375355729077</v>
      </c>
      <c r="G80" s="83">
        <v>776375</v>
      </c>
      <c r="H80" s="17">
        <v>780361</v>
      </c>
      <c r="I80" s="10">
        <f t="shared" si="6"/>
        <v>-5.1078923728890002E-3</v>
      </c>
      <c r="J80" s="44">
        <v>0.21321901246042918</v>
      </c>
    </row>
    <row r="81" spans="1:10" x14ac:dyDescent="0.2">
      <c r="A81" s="24" t="str">
        <f>VLOOKUP("&lt;Zeilentitel_55&gt;",Uebersetzungen!$B$4:$E$78,Uebersetzungen!$B$2+1,FALSE)</f>
        <v>Wallis</v>
      </c>
      <c r="B81" s="5"/>
      <c r="C81" s="13">
        <v>244883</v>
      </c>
      <c r="D81" s="17">
        <v>299530</v>
      </c>
      <c r="E81" s="33">
        <f t="shared" si="5"/>
        <v>-0.18244249323940842</v>
      </c>
      <c r="F81" s="80">
        <v>0.10289375454879557</v>
      </c>
      <c r="G81" s="83">
        <v>1761795</v>
      </c>
      <c r="H81" s="17">
        <v>1765591</v>
      </c>
      <c r="I81" s="33">
        <f t="shared" si="6"/>
        <v>-2.149988304199546E-3</v>
      </c>
      <c r="J81" s="44">
        <v>0.16139937353605127</v>
      </c>
    </row>
    <row r="82" spans="1:10" x14ac:dyDescent="0.2">
      <c r="A82" s="24" t="str">
        <f>VLOOKUP("&lt;Zeilentitel_56&gt;",Uebersetzungen!$B$4:$E$78,Uebersetzungen!$B$2+1,FALSE)</f>
        <v>Zürich Region</v>
      </c>
      <c r="B82" s="7"/>
      <c r="C82" s="14">
        <v>560235</v>
      </c>
      <c r="D82" s="18">
        <v>550161</v>
      </c>
      <c r="E82" s="43">
        <f t="shared" si="5"/>
        <v>1.8311003506246371E-2</v>
      </c>
      <c r="F82" s="11">
        <v>0.6863302604829189</v>
      </c>
      <c r="G82" s="84">
        <v>1928621</v>
      </c>
      <c r="H82" s="18">
        <v>1867837</v>
      </c>
      <c r="I82" s="43">
        <f t="shared" si="6"/>
        <v>3.2542454186312852E-2</v>
      </c>
      <c r="J82" s="48">
        <v>0.51119791258560432</v>
      </c>
    </row>
    <row r="83" spans="1:10" ht="13.5" thickBot="1" x14ac:dyDescent="0.25">
      <c r="A83" s="71" t="str">
        <f>VLOOKUP("&lt;Zeilentitel_57&gt;",Uebersetzungen!$B$4:$E$78,Uebersetzungen!$B$2+1,FALSE)</f>
        <v>Schweiz</v>
      </c>
      <c r="B83" s="39"/>
      <c r="C83" s="30">
        <v>2776614</v>
      </c>
      <c r="D83" s="40">
        <v>2869696</v>
      </c>
      <c r="E83" s="41">
        <f t="shared" si="5"/>
        <v>-3.2436188362809149E-2</v>
      </c>
      <c r="F83" s="86">
        <v>0.34959166867813107</v>
      </c>
      <c r="G83" s="79">
        <v>12651067</v>
      </c>
      <c r="H83" s="40">
        <v>12398144</v>
      </c>
      <c r="I83" s="41">
        <f t="shared" si="6"/>
        <v>2.0400069558798473E-2</v>
      </c>
      <c r="J83" s="45">
        <v>0.26315641176336557</v>
      </c>
    </row>
    <row r="84" spans="1:10" x14ac:dyDescent="0.2">
      <c r="A84" s="34"/>
      <c r="B84" s="35"/>
      <c r="C84" s="29"/>
      <c r="D84" s="36"/>
      <c r="E84" s="37"/>
      <c r="F84" s="38"/>
    </row>
    <row r="85" spans="1:10" x14ac:dyDescent="0.2">
      <c r="A85" s="4" t="str">
        <f>VLOOKUP("&lt;Quelle_1&gt;",Uebersetzungen!$B$4:$E$86,Uebersetzungen!$B$2+1,FALSE)</f>
        <v>Quelle: BFS (HESTA)</v>
      </c>
    </row>
    <row r="86" spans="1:10" ht="12.75" customHeight="1" x14ac:dyDescent="0.2">
      <c r="A86" s="4" t="str">
        <f>VLOOKUP("&lt;T4Aktualisierung&gt;",Uebersetzungen!$B$4:$E$304,Uebersetzungen!$B$2+1,FALSE)</f>
        <v>Letztmals aktualisiert am: 06.06.2024</v>
      </c>
    </row>
    <row r="87" spans="1:10" x14ac:dyDescent="0.2">
      <c r="A87" s="4" t="str">
        <f>VLOOKUP("&lt;Legende_2&gt;",Uebersetzungen!$B$4:$E$86,Uebersetzungen!$B$2+1,FALSE)</f>
        <v>Kontakt: Luzius Stricker, 081 257 23 74, luzius.stricker@awt.gr.ch</v>
      </c>
    </row>
    <row r="88" spans="1:10" x14ac:dyDescent="0.2">
      <c r="A88" s="31" t="str">
        <f>VLOOKUP("&lt;T4Legende_3&gt;",Uebersetzungen!$B$4:$E$304,Uebersetzungen!$B$2+1,FALSE)</f>
        <v>Daten des Mai 2024 erscheinen am 5. Juli 2024.</v>
      </c>
    </row>
    <row r="90" spans="1:10" x14ac:dyDescent="0.2">
      <c r="A90" s="4" t="s">
        <v>55</v>
      </c>
    </row>
  </sheetData>
  <sheetProtection sheet="1" objects="1" scenarios="1"/>
  <mergeCells count="1">
    <mergeCell ref="A7:D7"/>
  </mergeCells>
  <hyperlinks>
    <hyperlink ref="E63" r:id="rId1"/>
  </hyperlinks>
  <pageMargins left="0.70866141732283472" right="0.70866141732283472" top="0.78740157480314965" bottom="0.78740157480314965" header="0.31496062992125984" footer="0.31496062992125984"/>
  <pageSetup paperSize="9" scale="90" fitToHeight="2" orientation="landscape" r:id="rId2"/>
  <rowBreaks count="2" manualBreakCount="2">
    <brk id="38" max="9" man="1"/>
    <brk id="65" max="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Option Button 1">
              <controlPr defaultSize="0" autoFill="0" autoLine="0" autoPict="0">
                <anchor moveWithCells="1">
                  <from>
                    <xdr:col>6</xdr:col>
                    <xdr:colOff>219075</xdr:colOff>
                    <xdr:row>1</xdr:row>
                    <xdr:rowOff>114300</xdr:rowOff>
                  </from>
                  <to>
                    <xdr:col>7</xdr:col>
                    <xdr:colOff>419100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Option Button 2">
              <controlPr defaultSize="0" autoFill="0" autoLine="0" autoPict="0">
                <anchor moveWithCells="1">
                  <from>
                    <xdr:col>6</xdr:col>
                    <xdr:colOff>219075</xdr:colOff>
                    <xdr:row>2</xdr:row>
                    <xdr:rowOff>104775</xdr:rowOff>
                  </from>
                  <to>
                    <xdr:col>7</xdr:col>
                    <xdr:colOff>800100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Option Button 3">
              <controlPr defaultSize="0" autoFill="0" autoLine="0" autoPict="0">
                <anchor moveWithCells="1">
                  <from>
                    <xdr:col>6</xdr:col>
                    <xdr:colOff>219075</xdr:colOff>
                    <xdr:row>3</xdr:row>
                    <xdr:rowOff>66675</xdr:rowOff>
                  </from>
                  <to>
                    <xdr:col>7</xdr:col>
                    <xdr:colOff>419100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C7E3B5B685244E9F316DC5AF52F3F3" ma:contentTypeVersion="6" ma:contentTypeDescription="Ein neues Dokument erstellen." ma:contentTypeScope="" ma:versionID="5922a524ea719d7172c03bd4767f06ed">
  <xsd:schema xmlns:xsd="http://www.w3.org/2001/XMLSchema" xmlns:xs="http://www.w3.org/2001/XMLSchema" xmlns:p="http://schemas.microsoft.com/office/2006/metadata/properties" xmlns:ns1="http://schemas.microsoft.com/sharepoint/v3" xmlns:ns2="a85bdc46-611b-4a7e-936f-e8248c6e1bca" targetNamespace="http://schemas.microsoft.com/office/2006/metadata/properties" ma:root="true" ma:fieldsID="2f5bd5d7e51ad7ad358f4884b85fdf5e" ns1:_="" ns2:_="">
    <xsd:import namespace="http://schemas.microsoft.com/sharepoint/v3"/>
    <xsd:import namespace="a85bdc46-611b-4a7e-936f-e8248c6e1bc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bdc46-611b-4a7e-936f-e8248c6e1bca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a85bdc46-611b-4a7e-936f-e8248c6e1bca">1002</Benutzerdefinierte_x0020_ID>
    <Kategorie xmlns="a85bdc46-611b-4a7e-936f-e8248c6e1bca">Beherbergungsstatistik</Kategorie>
    <Titel_DE xmlns="a85bdc46-611b-4a7e-936f-e8248c6e1bca">Beherbergungsstatistik Graubünden, Monatsdaten 2024</Titel_DE>
    <PublishingExpirationDate xmlns="http://schemas.microsoft.com/sharepoint/v3" xsi:nil="true"/>
    <PublishingStartDate xmlns="http://schemas.microsoft.com/sharepoint/v3" xsi:nil="true"/>
    <Titel_IT xmlns="a85bdc46-611b-4a7e-936f-e8248c6e1bca">Statistica della ricettività turistica nei Grigioni, dati mensili 2024</Titel_IT>
    <Titel_RM xmlns="a85bdc46-611b-4a7e-936f-e8248c6e1bca">Statistica dals alloschaments dal Grischun, datas mensilas dal 2024</Titel_RM>
  </documentManagement>
</p:properties>
</file>

<file path=customXml/itemProps1.xml><?xml version="1.0" encoding="utf-8"?>
<ds:datastoreItem xmlns:ds="http://schemas.openxmlformats.org/officeDocument/2006/customXml" ds:itemID="{B79B5A6A-D7BB-4F41-B489-DAFEA1AB4282}"/>
</file>

<file path=customXml/itemProps2.xml><?xml version="1.0" encoding="utf-8"?>
<ds:datastoreItem xmlns:ds="http://schemas.openxmlformats.org/officeDocument/2006/customXml" ds:itemID="{5C104F89-25BE-4936-95FC-FC89E1D63C97}"/>
</file>

<file path=customXml/itemProps3.xml><?xml version="1.0" encoding="utf-8"?>
<ds:datastoreItem xmlns:ds="http://schemas.openxmlformats.org/officeDocument/2006/customXml" ds:itemID="{BDCFF481-7EB7-42FE-A02F-EA503AFDA8F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12</vt:i4>
      </vt:variant>
    </vt:vector>
  </HeadingPairs>
  <TitlesOfParts>
    <vt:vector size="25" baseType="lpstr">
      <vt:lpstr>Dezember 2024</vt:lpstr>
      <vt:lpstr>November 2024</vt:lpstr>
      <vt:lpstr>Oktober 2024</vt:lpstr>
      <vt:lpstr>September 2024</vt:lpstr>
      <vt:lpstr>August 2024</vt:lpstr>
      <vt:lpstr>Juli 2024</vt:lpstr>
      <vt:lpstr>Juni 2024</vt:lpstr>
      <vt:lpstr>Mai 2024</vt:lpstr>
      <vt:lpstr>April 2024</vt:lpstr>
      <vt:lpstr>März 2024</vt:lpstr>
      <vt:lpstr>Februar 2024</vt:lpstr>
      <vt:lpstr>Januar 2024</vt:lpstr>
      <vt:lpstr>Uebersetzungen</vt:lpstr>
      <vt:lpstr>'April 2024'!Druckbereich</vt:lpstr>
      <vt:lpstr>'August 2024'!Druckbereich</vt:lpstr>
      <vt:lpstr>'Dezember 2024'!Druckbereich</vt:lpstr>
      <vt:lpstr>'Februar 2024'!Druckbereich</vt:lpstr>
      <vt:lpstr>'Januar 2024'!Druckbereich</vt:lpstr>
      <vt:lpstr>'Juli 2024'!Druckbereich</vt:lpstr>
      <vt:lpstr>'Juni 2024'!Druckbereich</vt:lpstr>
      <vt:lpstr>'Mai 2024'!Druckbereich</vt:lpstr>
      <vt:lpstr>'März 2024'!Druckbereich</vt:lpstr>
      <vt:lpstr>'November 2024'!Druckbereich</vt:lpstr>
      <vt:lpstr>'Oktober 2024'!Druckbereich</vt:lpstr>
      <vt:lpstr>'September 2024'!Druckbereich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Beherbergungsstatistik Graubünden Monatsauswertungen</dc:title>
  <dc:creator>Luzius Stricker</dc:creator>
  <cp:lastModifiedBy>Stricker Luzius</cp:lastModifiedBy>
  <cp:lastPrinted>2024-02-14T14:03:02Z</cp:lastPrinted>
  <dcterms:created xsi:type="dcterms:W3CDTF">2012-02-14T12:10:20Z</dcterms:created>
  <dcterms:modified xsi:type="dcterms:W3CDTF">2025-02-19T13:06:35Z</dcterms:modified>
  <cp:category>Beherbergungsstatistik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0x01010061C7E3B5B685244E9F316DC5AF52F3F3</vt:lpwstr>
  </property>
</Properties>
</file>