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6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8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9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10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1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1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1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0 TOURISMUS\HESTA ab 2017\Monatsdaten\Monatsauswertungen 2025\"/>
    </mc:Choice>
  </mc:AlternateContent>
  <xr:revisionPtr revIDLastSave="0" documentId="13_ncr:1_{F656C141-6FC6-4547-A2CA-4081DA0D223F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Dezember" sheetId="18" r:id="rId1"/>
    <sheet name="November" sheetId="17" r:id="rId2"/>
    <sheet name="Oktober" sheetId="16" r:id="rId3"/>
    <sheet name="September" sheetId="15" r:id="rId4"/>
    <sheet name="August" sheetId="14" r:id="rId5"/>
    <sheet name="Juli" sheetId="13" r:id="rId6"/>
    <sheet name="Juni" sheetId="12" r:id="rId7"/>
    <sheet name="Mai" sheetId="11" r:id="rId8"/>
    <sheet name="April" sheetId="10" r:id="rId9"/>
    <sheet name="März" sheetId="9" r:id="rId10"/>
    <sheet name="Februar" sheetId="7" r:id="rId11"/>
    <sheet name="Januar" sheetId="6" r:id="rId12"/>
    <sheet name="Länder_Pajais_Paesi" sheetId="19" r:id="rId13"/>
    <sheet name="Uebersetzungen" sheetId="5" state="hidden" r:id="rId14"/>
  </sheets>
  <definedNames>
    <definedName name="_xlnm.Print_Area" localSheetId="8">April!$A$1:$J$101</definedName>
    <definedName name="_xlnm.Print_Area" localSheetId="4">August!$A$1:$J$101</definedName>
    <definedName name="_xlnm.Print_Area" localSheetId="0">Dezember!$A$1:$J$101</definedName>
    <definedName name="_xlnm.Print_Area" localSheetId="10">Februar!$A$1:$J$101</definedName>
    <definedName name="_xlnm.Print_Area" localSheetId="11">Januar!$A$1:$J$101</definedName>
    <definedName name="_xlnm.Print_Area" localSheetId="5">Juli!$A$1:$J$101</definedName>
    <definedName name="_xlnm.Print_Area" localSheetId="6">Juni!$A$1:$J$101</definedName>
    <definedName name="_xlnm.Print_Area" localSheetId="12">Länder_Pajais_Paesi!$A$1:$F$90</definedName>
    <definedName name="_xlnm.Print_Area" localSheetId="7">Mai!$A$1:$J$101</definedName>
    <definedName name="_xlnm.Print_Area" localSheetId="9">März!$A$1:$J$101</definedName>
    <definedName name="_xlnm.Print_Area" localSheetId="1">November!$A$1:$J$101</definedName>
    <definedName name="_xlnm.Print_Area" localSheetId="2">Oktober!$A$1:$J$101</definedName>
    <definedName name="_xlnm.Print_Area" localSheetId="3">September!$A$1:$J$101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8" l="1"/>
  <c r="E72" i="6"/>
  <c r="I52" i="18" l="1"/>
  <c r="I53" i="18"/>
  <c r="I54" i="18"/>
  <c r="I55" i="18"/>
  <c r="I56" i="18"/>
  <c r="I57" i="18"/>
  <c r="I58" i="18"/>
  <c r="E52" i="18"/>
  <c r="E53" i="18"/>
  <c r="E54" i="18"/>
  <c r="E55" i="18"/>
  <c r="E56" i="18"/>
  <c r="E57" i="18"/>
  <c r="E58" i="18"/>
  <c r="I52" i="17" l="1"/>
  <c r="I53" i="17"/>
  <c r="I54" i="17"/>
  <c r="I55" i="17"/>
  <c r="I56" i="17"/>
  <c r="I57" i="17"/>
  <c r="I58" i="17"/>
  <c r="E52" i="17"/>
  <c r="E53" i="17"/>
  <c r="E54" i="17"/>
  <c r="E55" i="17"/>
  <c r="E56" i="17"/>
  <c r="E57" i="17"/>
  <c r="E58" i="17"/>
  <c r="I49" i="16"/>
  <c r="I50" i="16"/>
  <c r="I51" i="16"/>
  <c r="I52" i="16"/>
  <c r="I53" i="16"/>
  <c r="I54" i="16"/>
  <c r="I55" i="16"/>
  <c r="E49" i="16"/>
  <c r="E50" i="16"/>
  <c r="E51" i="16"/>
  <c r="E52" i="16"/>
  <c r="E53" i="16"/>
  <c r="E54" i="16"/>
  <c r="E55" i="16"/>
  <c r="I52" i="15"/>
  <c r="I53" i="15"/>
  <c r="I54" i="15"/>
  <c r="I55" i="15"/>
  <c r="I56" i="15"/>
  <c r="I57" i="15"/>
  <c r="I58" i="15"/>
  <c r="E52" i="15"/>
  <c r="E53" i="15"/>
  <c r="E54" i="15"/>
  <c r="E55" i="15"/>
  <c r="E56" i="15"/>
  <c r="E57" i="15"/>
  <c r="E58" i="15"/>
  <c r="I53" i="14"/>
  <c r="I54" i="14"/>
  <c r="I55" i="14"/>
  <c r="I56" i="14"/>
  <c r="I57" i="14"/>
  <c r="I58" i="14"/>
  <c r="I59" i="14"/>
  <c r="E53" i="14"/>
  <c r="E54" i="14"/>
  <c r="E55" i="14"/>
  <c r="E56" i="14"/>
  <c r="E57" i="14"/>
  <c r="E58" i="14"/>
  <c r="E59" i="14"/>
  <c r="I51" i="13" l="1"/>
  <c r="I52" i="13"/>
  <c r="I53" i="13"/>
  <c r="I54" i="13"/>
  <c r="I55" i="13"/>
  <c r="I56" i="13"/>
  <c r="I57" i="13"/>
  <c r="E51" i="13"/>
  <c r="E52" i="13"/>
  <c r="E53" i="13"/>
  <c r="E54" i="13"/>
  <c r="E55" i="13"/>
  <c r="E56" i="13"/>
  <c r="E57" i="13"/>
  <c r="I53" i="12"/>
  <c r="I54" i="12"/>
  <c r="I55" i="12"/>
  <c r="I56" i="12"/>
  <c r="I57" i="12"/>
  <c r="I58" i="12"/>
  <c r="I59" i="12"/>
  <c r="E53" i="12"/>
  <c r="E54" i="12"/>
  <c r="E55" i="12"/>
  <c r="E56" i="12"/>
  <c r="E57" i="12"/>
  <c r="E58" i="12"/>
  <c r="E59" i="12"/>
  <c r="I52" i="11"/>
  <c r="I53" i="11"/>
  <c r="I54" i="11"/>
  <c r="I55" i="11"/>
  <c r="I56" i="11"/>
  <c r="I57" i="11"/>
  <c r="I58" i="11"/>
  <c r="E52" i="11"/>
  <c r="E53" i="11"/>
  <c r="E54" i="11"/>
  <c r="E55" i="11"/>
  <c r="E56" i="11"/>
  <c r="E57" i="11"/>
  <c r="E58" i="11"/>
  <c r="I48" i="10"/>
  <c r="I49" i="10"/>
  <c r="I50" i="10"/>
  <c r="I51" i="10"/>
  <c r="I52" i="10"/>
  <c r="I53" i="10"/>
  <c r="I54" i="10"/>
  <c r="E48" i="10"/>
  <c r="E49" i="10"/>
  <c r="E50" i="10"/>
  <c r="E51" i="10"/>
  <c r="E52" i="10"/>
  <c r="E53" i="10"/>
  <c r="E54" i="10"/>
  <c r="I52" i="9" l="1"/>
  <c r="I53" i="9"/>
  <c r="I54" i="9"/>
  <c r="I55" i="9"/>
  <c r="I56" i="9"/>
  <c r="I57" i="9"/>
  <c r="I58" i="9"/>
  <c r="E52" i="9"/>
  <c r="E53" i="9"/>
  <c r="E54" i="9"/>
  <c r="E55" i="9"/>
  <c r="E56" i="9"/>
  <c r="E57" i="9"/>
  <c r="E58" i="9"/>
  <c r="I71" i="7"/>
  <c r="I52" i="7"/>
  <c r="I53" i="7"/>
  <c r="I54" i="7"/>
  <c r="I55" i="7"/>
  <c r="I56" i="7"/>
  <c r="I57" i="7"/>
  <c r="I58" i="7"/>
  <c r="E52" i="7"/>
  <c r="E53" i="7"/>
  <c r="E54" i="7"/>
  <c r="E55" i="7"/>
  <c r="E56" i="7"/>
  <c r="E57" i="7"/>
  <c r="E58" i="7"/>
  <c r="E59" i="7"/>
  <c r="E71" i="7"/>
  <c r="E72" i="7"/>
  <c r="E58" i="6"/>
  <c r="E59" i="6"/>
  <c r="E60" i="6"/>
  <c r="E61" i="6"/>
  <c r="E62" i="6"/>
  <c r="E63" i="6"/>
  <c r="E66" i="6"/>
  <c r="E67" i="6"/>
  <c r="E68" i="6"/>
  <c r="E69" i="6"/>
  <c r="E70" i="6"/>
  <c r="E71" i="6"/>
  <c r="C30" i="19" l="1"/>
  <c r="C74" i="19"/>
  <c r="C56" i="19"/>
  <c r="C52" i="19"/>
  <c r="C48" i="19"/>
  <c r="C44" i="19"/>
  <c r="C40" i="19"/>
  <c r="C34" i="19"/>
  <c r="C33" i="19"/>
  <c r="C26" i="19"/>
  <c r="C60" i="19"/>
  <c r="C53" i="19"/>
  <c r="C42" i="19"/>
  <c r="C39" i="19"/>
  <c r="C32" i="19"/>
  <c r="C16" i="19"/>
  <c r="C78" i="19"/>
  <c r="C76" i="19"/>
  <c r="C70" i="19"/>
  <c r="C64" i="19"/>
  <c r="C55" i="19"/>
  <c r="C50" i="19"/>
  <c r="C47" i="19"/>
  <c r="C31" i="19"/>
  <c r="C29" i="19"/>
  <c r="C81" i="19"/>
  <c r="C80" i="19"/>
  <c r="C65" i="19"/>
  <c r="C59" i="19"/>
  <c r="C58" i="19"/>
  <c r="C45" i="19"/>
  <c r="C43" i="19"/>
  <c r="C25" i="19"/>
  <c r="C20" i="19"/>
  <c r="C17" i="19"/>
  <c r="C79" i="19"/>
  <c r="C77" i="19"/>
  <c r="C49" i="19"/>
  <c r="C21" i="19"/>
  <c r="C14" i="19"/>
  <c r="C85" i="19"/>
  <c r="C72" i="19"/>
  <c r="C66" i="19"/>
  <c r="C63" i="19"/>
  <c r="C41" i="19"/>
  <c r="C28" i="19"/>
  <c r="C73" i="19"/>
  <c r="C75" i="19"/>
  <c r="C68" i="19"/>
  <c r="C13" i="19"/>
  <c r="C82" i="19"/>
  <c r="C46" i="19"/>
  <c r="C38" i="19"/>
  <c r="C67" i="19"/>
  <c r="C22" i="19"/>
  <c r="C23" i="19"/>
  <c r="C61" i="19"/>
  <c r="C37" i="19"/>
  <c r="C69" i="19"/>
  <c r="C71" i="19"/>
  <c r="C15" i="19"/>
  <c r="C19" i="19"/>
  <c r="C57" i="19"/>
  <c r="C35" i="19"/>
  <c r="C54" i="19"/>
  <c r="C27" i="19"/>
  <c r="C36" i="19"/>
  <c r="C51" i="19"/>
  <c r="C18" i="19"/>
  <c r="C84" i="19"/>
  <c r="C83" i="19"/>
  <c r="C24" i="19"/>
  <c r="C62" i="19"/>
  <c r="A96" i="18" l="1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74" i="18"/>
  <c r="A73" i="18"/>
  <c r="A72" i="18"/>
  <c r="A71" i="18"/>
  <c r="A70" i="18"/>
  <c r="A69" i="18"/>
  <c r="A68" i="18"/>
  <c r="A67" i="18"/>
  <c r="A66" i="18"/>
  <c r="A65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74" i="17"/>
  <c r="A73" i="17"/>
  <c r="A72" i="17"/>
  <c r="A71" i="17"/>
  <c r="A70" i="17"/>
  <c r="A69" i="17"/>
  <c r="A68" i="17"/>
  <c r="A67" i="17"/>
  <c r="A66" i="17"/>
  <c r="A65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74" i="16"/>
  <c r="A73" i="16"/>
  <c r="A72" i="16"/>
  <c r="A71" i="16"/>
  <c r="A70" i="16"/>
  <c r="A69" i="16"/>
  <c r="A68" i="16"/>
  <c r="A67" i="16"/>
  <c r="A66" i="16"/>
  <c r="A65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74" i="15"/>
  <c r="A73" i="15"/>
  <c r="A72" i="15"/>
  <c r="A71" i="15"/>
  <c r="A70" i="15"/>
  <c r="A69" i="15"/>
  <c r="A68" i="15"/>
  <c r="A67" i="15"/>
  <c r="A66" i="15"/>
  <c r="A65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74" i="14"/>
  <c r="A73" i="14"/>
  <c r="A72" i="14"/>
  <c r="A71" i="14"/>
  <c r="A70" i="14"/>
  <c r="A69" i="14"/>
  <c r="A68" i="14"/>
  <c r="A67" i="14"/>
  <c r="A66" i="14"/>
  <c r="A65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74" i="13"/>
  <c r="A73" i="13"/>
  <c r="A72" i="13"/>
  <c r="A71" i="13"/>
  <c r="A70" i="13"/>
  <c r="A69" i="13"/>
  <c r="A68" i="13"/>
  <c r="A67" i="13"/>
  <c r="A66" i="13"/>
  <c r="A65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74" i="12"/>
  <c r="A73" i="12"/>
  <c r="A72" i="12"/>
  <c r="A71" i="12"/>
  <c r="A70" i="12"/>
  <c r="A69" i="12"/>
  <c r="A68" i="12"/>
  <c r="A67" i="12"/>
  <c r="A66" i="12"/>
  <c r="A65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74" i="11"/>
  <c r="A73" i="11"/>
  <c r="A72" i="11"/>
  <c r="A71" i="11"/>
  <c r="A70" i="11"/>
  <c r="A69" i="11"/>
  <c r="A68" i="11"/>
  <c r="A67" i="11"/>
  <c r="A66" i="11"/>
  <c r="A65" i="11"/>
  <c r="A63" i="11"/>
  <c r="A62" i="11"/>
  <c r="A61" i="11"/>
  <c r="A60" i="11"/>
  <c r="A59" i="11"/>
  <c r="A58" i="11"/>
  <c r="A57" i="11"/>
  <c r="A56" i="11"/>
  <c r="A55" i="11"/>
  <c r="A54" i="11"/>
  <c r="A74" i="10"/>
  <c r="A73" i="10"/>
  <c r="A72" i="10"/>
  <c r="A71" i="10"/>
  <c r="A70" i="10"/>
  <c r="A69" i="10"/>
  <c r="A68" i="10"/>
  <c r="A67" i="10"/>
  <c r="A66" i="10"/>
  <c r="A65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98" i="10"/>
  <c r="A99" i="10"/>
  <c r="A100" i="10"/>
  <c r="A101" i="10"/>
  <c r="A74" i="9"/>
  <c r="A73" i="9"/>
  <c r="A72" i="9"/>
  <c r="A71" i="9"/>
  <c r="A70" i="9"/>
  <c r="A69" i="9"/>
  <c r="A68" i="9"/>
  <c r="A67" i="9"/>
  <c r="A66" i="9"/>
  <c r="A65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74" i="7"/>
  <c r="A73" i="7"/>
  <c r="A72" i="7"/>
  <c r="A71" i="7"/>
  <c r="A70" i="7"/>
  <c r="A69" i="7"/>
  <c r="A68" i="7"/>
  <c r="A67" i="7"/>
  <c r="A66" i="7"/>
  <c r="A65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73" i="6"/>
  <c r="A72" i="6"/>
  <c r="A76" i="18"/>
  <c r="A76" i="17"/>
  <c r="A76" i="16"/>
  <c r="A76" i="15"/>
  <c r="A76" i="14"/>
  <c r="A76" i="13"/>
  <c r="A76" i="12"/>
  <c r="A76" i="11"/>
  <c r="A76" i="10"/>
  <c r="A76" i="9"/>
  <c r="A76" i="7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80" i="7"/>
  <c r="C12" i="19" l="1"/>
  <c r="A12" i="19"/>
  <c r="A9" i="19"/>
  <c r="A89" i="19"/>
  <c r="A88" i="19"/>
  <c r="A7" i="19"/>
  <c r="A76" i="6"/>
  <c r="A71" i="6"/>
  <c r="A70" i="6"/>
  <c r="A69" i="6"/>
  <c r="A68" i="6"/>
  <c r="A67" i="6"/>
  <c r="A66" i="6"/>
  <c r="A65" i="6"/>
  <c r="A63" i="6"/>
  <c r="A62" i="6"/>
  <c r="A61" i="6"/>
  <c r="A60" i="6"/>
  <c r="A59" i="6"/>
  <c r="A58" i="6"/>
  <c r="A57" i="6"/>
  <c r="I74" i="18" l="1"/>
  <c r="E74" i="18"/>
  <c r="I72" i="18"/>
  <c r="E72" i="18"/>
  <c r="I71" i="18"/>
  <c r="E71" i="18"/>
  <c r="I70" i="18"/>
  <c r="E70" i="18"/>
  <c r="I69" i="18"/>
  <c r="E69" i="18"/>
  <c r="I68" i="18"/>
  <c r="E68" i="18"/>
  <c r="I67" i="18"/>
  <c r="E67" i="18"/>
  <c r="I66" i="18"/>
  <c r="E66" i="18"/>
  <c r="I63" i="18"/>
  <c r="E63" i="18"/>
  <c r="I62" i="18"/>
  <c r="E62" i="18"/>
  <c r="I61" i="18"/>
  <c r="E61" i="18"/>
  <c r="I60" i="18"/>
  <c r="E60" i="18"/>
  <c r="I59" i="18"/>
  <c r="E59" i="18"/>
  <c r="I51" i="18"/>
  <c r="E51" i="18"/>
  <c r="I50" i="18"/>
  <c r="E50" i="18"/>
  <c r="I49" i="18"/>
  <c r="E49" i="18"/>
  <c r="I48" i="18"/>
  <c r="E48" i="18"/>
  <c r="I47" i="18"/>
  <c r="E47" i="18"/>
  <c r="I46" i="18"/>
  <c r="E46" i="18"/>
  <c r="I45" i="18"/>
  <c r="E45" i="18"/>
  <c r="I44" i="18"/>
  <c r="E44" i="18"/>
  <c r="I43" i="18"/>
  <c r="E43" i="18"/>
  <c r="I42" i="18"/>
  <c r="E42" i="18"/>
  <c r="I41" i="18"/>
  <c r="E41" i="18"/>
  <c r="I40" i="18"/>
  <c r="E40" i="18"/>
  <c r="I74" i="17"/>
  <c r="E74" i="17"/>
  <c r="I72" i="17"/>
  <c r="E72" i="17"/>
  <c r="I71" i="17"/>
  <c r="E71" i="17"/>
  <c r="I70" i="17"/>
  <c r="E70" i="17"/>
  <c r="I69" i="17"/>
  <c r="E69" i="17"/>
  <c r="I68" i="17"/>
  <c r="E68" i="17"/>
  <c r="I67" i="17"/>
  <c r="E67" i="17"/>
  <c r="I66" i="17"/>
  <c r="E66" i="17"/>
  <c r="I63" i="17"/>
  <c r="E63" i="17"/>
  <c r="I62" i="17"/>
  <c r="E62" i="17"/>
  <c r="I61" i="17"/>
  <c r="E61" i="17"/>
  <c r="I60" i="17"/>
  <c r="E60" i="17"/>
  <c r="I59" i="17"/>
  <c r="E59" i="17"/>
  <c r="I51" i="17"/>
  <c r="E51" i="17"/>
  <c r="I50" i="17"/>
  <c r="E50" i="17"/>
  <c r="I49" i="17"/>
  <c r="E49" i="17"/>
  <c r="I48" i="17"/>
  <c r="E48" i="17"/>
  <c r="I47" i="17"/>
  <c r="E47" i="17"/>
  <c r="I46" i="17"/>
  <c r="E46" i="17"/>
  <c r="I45" i="17"/>
  <c r="E45" i="17"/>
  <c r="I44" i="17"/>
  <c r="E44" i="17"/>
  <c r="I43" i="17"/>
  <c r="E43" i="17"/>
  <c r="I42" i="17"/>
  <c r="E42" i="17"/>
  <c r="I41" i="17"/>
  <c r="E41" i="17"/>
  <c r="I40" i="17"/>
  <c r="E40" i="17"/>
  <c r="I74" i="16"/>
  <c r="E74" i="16"/>
  <c r="I72" i="16"/>
  <c r="E72" i="16"/>
  <c r="I71" i="16"/>
  <c r="E71" i="16"/>
  <c r="I70" i="16"/>
  <c r="E70" i="16"/>
  <c r="I69" i="16"/>
  <c r="E69" i="16"/>
  <c r="I68" i="16"/>
  <c r="E68" i="16"/>
  <c r="I67" i="16"/>
  <c r="E67" i="16"/>
  <c r="I66" i="16"/>
  <c r="E66" i="16"/>
  <c r="I63" i="16"/>
  <c r="E63" i="16"/>
  <c r="I62" i="16"/>
  <c r="E62" i="16"/>
  <c r="I61" i="16"/>
  <c r="E61" i="16"/>
  <c r="I60" i="16"/>
  <c r="E60" i="16"/>
  <c r="I59" i="16"/>
  <c r="E59" i="16"/>
  <c r="I58" i="16"/>
  <c r="E58" i="16"/>
  <c r="I57" i="16"/>
  <c r="E57" i="16"/>
  <c r="I56" i="16"/>
  <c r="E56" i="16"/>
  <c r="I48" i="16"/>
  <c r="E48" i="16"/>
  <c r="I47" i="16"/>
  <c r="E47" i="16"/>
  <c r="I46" i="16"/>
  <c r="E46" i="16"/>
  <c r="I45" i="16"/>
  <c r="E45" i="16"/>
  <c r="I44" i="16"/>
  <c r="E44" i="16"/>
  <c r="I43" i="16"/>
  <c r="E43" i="16"/>
  <c r="I42" i="16"/>
  <c r="E42" i="16"/>
  <c r="I41" i="16"/>
  <c r="E41" i="16"/>
  <c r="I40" i="16"/>
  <c r="E40" i="16"/>
  <c r="I74" i="15"/>
  <c r="E74" i="15"/>
  <c r="I72" i="15"/>
  <c r="E72" i="15"/>
  <c r="I71" i="15"/>
  <c r="E71" i="15"/>
  <c r="I70" i="15"/>
  <c r="E70" i="15"/>
  <c r="I69" i="15"/>
  <c r="E69" i="15"/>
  <c r="I68" i="15"/>
  <c r="E68" i="15"/>
  <c r="I67" i="15"/>
  <c r="E67" i="15"/>
  <c r="I66" i="15"/>
  <c r="E66" i="15"/>
  <c r="I63" i="15"/>
  <c r="E63" i="15"/>
  <c r="I62" i="15"/>
  <c r="E62" i="15"/>
  <c r="I61" i="15"/>
  <c r="E61" i="15"/>
  <c r="I60" i="15"/>
  <c r="E60" i="15"/>
  <c r="I59" i="15"/>
  <c r="E59" i="15"/>
  <c r="I51" i="15"/>
  <c r="E51" i="15"/>
  <c r="I50" i="15"/>
  <c r="E50" i="15"/>
  <c r="I49" i="15"/>
  <c r="E49" i="15"/>
  <c r="I48" i="15"/>
  <c r="E48" i="15"/>
  <c r="I47" i="15"/>
  <c r="E47" i="15"/>
  <c r="I46" i="15"/>
  <c r="E46" i="15"/>
  <c r="I45" i="15"/>
  <c r="E45" i="15"/>
  <c r="I44" i="15"/>
  <c r="E44" i="15"/>
  <c r="I43" i="15"/>
  <c r="E43" i="15"/>
  <c r="I42" i="15"/>
  <c r="E42" i="15"/>
  <c r="I41" i="15"/>
  <c r="E41" i="15"/>
  <c r="I40" i="15"/>
  <c r="E40" i="15"/>
  <c r="I74" i="14"/>
  <c r="E74" i="14"/>
  <c r="I72" i="14"/>
  <c r="E72" i="14"/>
  <c r="I71" i="14"/>
  <c r="E71" i="14"/>
  <c r="I70" i="14"/>
  <c r="E70" i="14"/>
  <c r="I69" i="14"/>
  <c r="E69" i="14"/>
  <c r="I68" i="14"/>
  <c r="E68" i="14"/>
  <c r="I67" i="14"/>
  <c r="E67" i="14"/>
  <c r="I66" i="14"/>
  <c r="E66" i="14"/>
  <c r="I63" i="14"/>
  <c r="E63" i="14"/>
  <c r="I62" i="14"/>
  <c r="E62" i="14"/>
  <c r="I61" i="14"/>
  <c r="E61" i="14"/>
  <c r="I60" i="14"/>
  <c r="E60" i="14"/>
  <c r="I52" i="14"/>
  <c r="E52" i="14"/>
  <c r="I51" i="14"/>
  <c r="E51" i="14"/>
  <c r="I50" i="14"/>
  <c r="E50" i="14"/>
  <c r="I49" i="14"/>
  <c r="E49" i="14"/>
  <c r="I48" i="14"/>
  <c r="E48" i="14"/>
  <c r="I47" i="14"/>
  <c r="E47" i="14"/>
  <c r="I46" i="14"/>
  <c r="E46" i="14"/>
  <c r="I45" i="14"/>
  <c r="E45" i="14"/>
  <c r="I44" i="14"/>
  <c r="E44" i="14"/>
  <c r="I43" i="14"/>
  <c r="E43" i="14"/>
  <c r="I42" i="14"/>
  <c r="E42" i="14"/>
  <c r="I41" i="14"/>
  <c r="E41" i="14"/>
  <c r="I40" i="14"/>
  <c r="E40" i="14"/>
  <c r="I74" i="13"/>
  <c r="E74" i="13"/>
  <c r="I72" i="13"/>
  <c r="E72" i="13"/>
  <c r="I71" i="13"/>
  <c r="E71" i="13"/>
  <c r="I70" i="13"/>
  <c r="E70" i="13"/>
  <c r="I69" i="13"/>
  <c r="E69" i="13"/>
  <c r="I68" i="13"/>
  <c r="E68" i="13"/>
  <c r="I67" i="13"/>
  <c r="E67" i="13"/>
  <c r="I66" i="13"/>
  <c r="E66" i="13"/>
  <c r="I63" i="13"/>
  <c r="E63" i="13"/>
  <c r="I62" i="13"/>
  <c r="E62" i="13"/>
  <c r="I61" i="13"/>
  <c r="E61" i="13"/>
  <c r="I60" i="13"/>
  <c r="E60" i="13"/>
  <c r="I59" i="13"/>
  <c r="E59" i="13"/>
  <c r="I58" i="13"/>
  <c r="E58" i="13"/>
  <c r="I50" i="13"/>
  <c r="E50" i="13"/>
  <c r="I49" i="13"/>
  <c r="E49" i="13"/>
  <c r="I48" i="13"/>
  <c r="E48" i="13"/>
  <c r="I47" i="13"/>
  <c r="E47" i="13"/>
  <c r="I46" i="13"/>
  <c r="E46" i="13"/>
  <c r="I45" i="13"/>
  <c r="E45" i="13"/>
  <c r="I44" i="13"/>
  <c r="E44" i="13"/>
  <c r="I43" i="13"/>
  <c r="E43" i="13"/>
  <c r="I42" i="13"/>
  <c r="E42" i="13"/>
  <c r="I41" i="13"/>
  <c r="E41" i="13"/>
  <c r="I40" i="13"/>
  <c r="E40" i="13"/>
  <c r="I74" i="12"/>
  <c r="E74" i="12"/>
  <c r="I72" i="12"/>
  <c r="E72" i="12"/>
  <c r="I71" i="12"/>
  <c r="E71" i="12"/>
  <c r="I70" i="12"/>
  <c r="E70" i="12"/>
  <c r="I69" i="12"/>
  <c r="E69" i="12"/>
  <c r="I68" i="12"/>
  <c r="E68" i="12"/>
  <c r="I67" i="12"/>
  <c r="E67" i="12"/>
  <c r="I66" i="12"/>
  <c r="E66" i="12"/>
  <c r="I63" i="12"/>
  <c r="E63" i="12"/>
  <c r="I62" i="12"/>
  <c r="E62" i="12"/>
  <c r="I61" i="12"/>
  <c r="E61" i="12"/>
  <c r="I60" i="12"/>
  <c r="E60" i="12"/>
  <c r="I52" i="12"/>
  <c r="E52" i="12"/>
  <c r="I51" i="12"/>
  <c r="E51" i="12"/>
  <c r="I50" i="12"/>
  <c r="E50" i="12"/>
  <c r="I49" i="12"/>
  <c r="E49" i="12"/>
  <c r="I48" i="12"/>
  <c r="E48" i="12"/>
  <c r="I47" i="12"/>
  <c r="E47" i="12"/>
  <c r="I46" i="12"/>
  <c r="E46" i="12"/>
  <c r="I45" i="12"/>
  <c r="E45" i="12"/>
  <c r="I44" i="12"/>
  <c r="E44" i="12"/>
  <c r="I43" i="12"/>
  <c r="E43" i="12"/>
  <c r="I42" i="12"/>
  <c r="E42" i="12"/>
  <c r="I41" i="12"/>
  <c r="E41" i="12"/>
  <c r="I40" i="12"/>
  <c r="E40" i="12"/>
  <c r="I74" i="11"/>
  <c r="E74" i="11"/>
  <c r="I72" i="11"/>
  <c r="E72" i="11"/>
  <c r="I71" i="11"/>
  <c r="E71" i="11"/>
  <c r="I70" i="11"/>
  <c r="E70" i="11"/>
  <c r="I69" i="11"/>
  <c r="E69" i="11"/>
  <c r="I68" i="11"/>
  <c r="E68" i="11"/>
  <c r="I67" i="11"/>
  <c r="E67" i="11"/>
  <c r="I66" i="11"/>
  <c r="E66" i="11"/>
  <c r="I63" i="11"/>
  <c r="E63" i="11"/>
  <c r="I62" i="11"/>
  <c r="E62" i="11"/>
  <c r="I61" i="11"/>
  <c r="E61" i="11"/>
  <c r="I60" i="11"/>
  <c r="E60" i="11"/>
  <c r="I59" i="11"/>
  <c r="E59" i="11"/>
  <c r="I51" i="11"/>
  <c r="E51" i="11"/>
  <c r="I50" i="11"/>
  <c r="E50" i="11"/>
  <c r="I49" i="11"/>
  <c r="E49" i="11"/>
  <c r="I48" i="11"/>
  <c r="E48" i="11"/>
  <c r="I47" i="11"/>
  <c r="E47" i="11"/>
  <c r="I46" i="11"/>
  <c r="E46" i="11"/>
  <c r="I45" i="11"/>
  <c r="E45" i="11"/>
  <c r="I44" i="11"/>
  <c r="E44" i="11"/>
  <c r="I43" i="11"/>
  <c r="E43" i="11"/>
  <c r="I42" i="11"/>
  <c r="E42" i="11"/>
  <c r="I41" i="11"/>
  <c r="E41" i="11"/>
  <c r="I40" i="11"/>
  <c r="E40" i="11"/>
  <c r="I74" i="10"/>
  <c r="E74" i="10"/>
  <c r="I72" i="10"/>
  <c r="E72" i="10"/>
  <c r="I71" i="10"/>
  <c r="E71" i="10"/>
  <c r="I70" i="10"/>
  <c r="E70" i="10"/>
  <c r="I69" i="10"/>
  <c r="E69" i="10"/>
  <c r="I68" i="10"/>
  <c r="E68" i="10"/>
  <c r="I67" i="10"/>
  <c r="E67" i="10"/>
  <c r="I66" i="10"/>
  <c r="E66" i="10"/>
  <c r="I63" i="10"/>
  <c r="E63" i="10"/>
  <c r="I62" i="10"/>
  <c r="E62" i="10"/>
  <c r="I61" i="10"/>
  <c r="E61" i="10"/>
  <c r="I60" i="10"/>
  <c r="E60" i="10"/>
  <c r="I59" i="10"/>
  <c r="E59" i="10"/>
  <c r="I58" i="10"/>
  <c r="E58" i="10"/>
  <c r="I57" i="10"/>
  <c r="E57" i="10"/>
  <c r="I56" i="10"/>
  <c r="E56" i="10"/>
  <c r="I55" i="10"/>
  <c r="E55" i="10"/>
  <c r="I47" i="10"/>
  <c r="E47" i="10"/>
  <c r="I46" i="10"/>
  <c r="E46" i="10"/>
  <c r="I45" i="10"/>
  <c r="E45" i="10"/>
  <c r="I44" i="10"/>
  <c r="E44" i="10"/>
  <c r="I43" i="10"/>
  <c r="E43" i="10"/>
  <c r="I42" i="10"/>
  <c r="E42" i="10"/>
  <c r="I41" i="10"/>
  <c r="E41" i="10"/>
  <c r="I40" i="10"/>
  <c r="E40" i="10"/>
  <c r="I74" i="9"/>
  <c r="E74" i="9"/>
  <c r="I72" i="9"/>
  <c r="E72" i="9"/>
  <c r="I71" i="9"/>
  <c r="E71" i="9"/>
  <c r="I70" i="9"/>
  <c r="E70" i="9"/>
  <c r="I69" i="9"/>
  <c r="E69" i="9"/>
  <c r="I68" i="9"/>
  <c r="E68" i="9"/>
  <c r="I67" i="9"/>
  <c r="E67" i="9"/>
  <c r="I66" i="9"/>
  <c r="E66" i="9"/>
  <c r="I63" i="9"/>
  <c r="E63" i="9"/>
  <c r="I62" i="9"/>
  <c r="E62" i="9"/>
  <c r="I61" i="9"/>
  <c r="E61" i="9"/>
  <c r="I60" i="9"/>
  <c r="E60" i="9"/>
  <c r="I59" i="9"/>
  <c r="E59" i="9"/>
  <c r="I51" i="9"/>
  <c r="E51" i="9"/>
  <c r="I50" i="9"/>
  <c r="E50" i="9"/>
  <c r="I49" i="9"/>
  <c r="E49" i="9"/>
  <c r="I48" i="9"/>
  <c r="E48" i="9"/>
  <c r="I47" i="9"/>
  <c r="E47" i="9"/>
  <c r="I46" i="9"/>
  <c r="E46" i="9"/>
  <c r="I45" i="9"/>
  <c r="E45" i="9"/>
  <c r="I44" i="9"/>
  <c r="E44" i="9"/>
  <c r="I43" i="9"/>
  <c r="E43" i="9"/>
  <c r="I42" i="9"/>
  <c r="E42" i="9"/>
  <c r="I41" i="9"/>
  <c r="E41" i="9"/>
  <c r="I40" i="9"/>
  <c r="E40" i="9"/>
  <c r="I45" i="7"/>
  <c r="I46" i="7"/>
  <c r="I47" i="7"/>
  <c r="I48" i="7"/>
  <c r="I49" i="7"/>
  <c r="I50" i="7"/>
  <c r="I51" i="7"/>
  <c r="I59" i="7"/>
  <c r="I60" i="7"/>
  <c r="E45" i="7"/>
  <c r="E46" i="7"/>
  <c r="E47" i="7"/>
  <c r="E48" i="7"/>
  <c r="E49" i="7"/>
  <c r="E50" i="7"/>
  <c r="E51" i="7"/>
  <c r="E60" i="7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E26" i="10"/>
  <c r="I26" i="10"/>
  <c r="E24" i="9"/>
  <c r="I24" i="9"/>
  <c r="E25" i="9"/>
  <c r="I25" i="9"/>
  <c r="E26" i="9"/>
  <c r="I26" i="9"/>
  <c r="C238" i="5"/>
  <c r="C239" i="5"/>
  <c r="E238" i="5"/>
  <c r="D238" i="5"/>
  <c r="E56" i="6"/>
  <c r="E57" i="6"/>
  <c r="A96" i="6"/>
  <c r="A95" i="6"/>
  <c r="A94" i="6"/>
  <c r="A92" i="6"/>
  <c r="A91" i="6"/>
  <c r="A93" i="6"/>
  <c r="A90" i="6"/>
  <c r="A89" i="6"/>
  <c r="A88" i="6"/>
  <c r="A87" i="6"/>
  <c r="A86" i="6"/>
  <c r="A85" i="6"/>
  <c r="A84" i="6"/>
  <c r="A83" i="6"/>
  <c r="A74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1" i="6" l="1"/>
  <c r="A80" i="6" l="1"/>
  <c r="A37" i="6"/>
  <c r="A10" i="6"/>
  <c r="A37" i="7"/>
  <c r="A10" i="7"/>
  <c r="A80" i="9"/>
  <c r="A37" i="9"/>
  <c r="A10" i="9"/>
  <c r="A80" i="10"/>
  <c r="A37" i="10"/>
  <c r="A10" i="10"/>
  <c r="A80" i="11"/>
  <c r="A37" i="11"/>
  <c r="A10" i="11"/>
  <c r="A80" i="12"/>
  <c r="A37" i="12"/>
  <c r="A10" i="12"/>
  <c r="A80" i="13"/>
  <c r="A37" i="13"/>
  <c r="A10" i="13"/>
  <c r="A80" i="14"/>
  <c r="A37" i="14"/>
  <c r="A10" i="14"/>
  <c r="A80" i="15"/>
  <c r="A37" i="15"/>
  <c r="A10" i="15"/>
  <c r="A80" i="16"/>
  <c r="A37" i="16"/>
  <c r="A10" i="16"/>
  <c r="A80" i="17"/>
  <c r="A37" i="17"/>
  <c r="A10" i="17"/>
  <c r="A80" i="18"/>
  <c r="A37" i="18"/>
  <c r="A10" i="18"/>
  <c r="E243" i="5" l="1"/>
  <c r="E242" i="5"/>
  <c r="E240" i="5"/>
  <c r="E239" i="5"/>
  <c r="D243" i="5"/>
  <c r="D242" i="5"/>
  <c r="D240" i="5"/>
  <c r="D239" i="5"/>
  <c r="C243" i="5"/>
  <c r="D82" i="18" s="1"/>
  <c r="C242" i="5"/>
  <c r="C12" i="18" s="1"/>
  <c r="C240" i="5"/>
  <c r="A79" i="18" s="1"/>
  <c r="A36" i="18"/>
  <c r="A9" i="18"/>
  <c r="E229" i="5"/>
  <c r="E228" i="5"/>
  <c r="E226" i="5"/>
  <c r="E224" i="5"/>
  <c r="E225" i="5"/>
  <c r="D229" i="5"/>
  <c r="D228" i="5"/>
  <c r="D226" i="5"/>
  <c r="D224" i="5"/>
  <c r="D225" i="5"/>
  <c r="C229" i="5"/>
  <c r="D12" i="17" s="1"/>
  <c r="C228" i="5"/>
  <c r="C39" i="17" s="1"/>
  <c r="C226" i="5"/>
  <c r="C224" i="5"/>
  <c r="A36" i="17" s="1"/>
  <c r="C225" i="5"/>
  <c r="A9" i="17" s="1"/>
  <c r="E215" i="5"/>
  <c r="E214" i="5"/>
  <c r="E212" i="5"/>
  <c r="E210" i="5"/>
  <c r="E211" i="5"/>
  <c r="D215" i="5"/>
  <c r="D214" i="5"/>
  <c r="D212" i="5"/>
  <c r="D210" i="5"/>
  <c r="D211" i="5"/>
  <c r="C215" i="5"/>
  <c r="C214" i="5"/>
  <c r="C212" i="5"/>
  <c r="C210" i="5"/>
  <c r="C211" i="5"/>
  <c r="E201" i="5"/>
  <c r="E200" i="5"/>
  <c r="E198" i="5"/>
  <c r="E196" i="5"/>
  <c r="E197" i="5"/>
  <c r="D201" i="5"/>
  <c r="D200" i="5"/>
  <c r="D198" i="5"/>
  <c r="D196" i="5"/>
  <c r="D197" i="5"/>
  <c r="C201" i="5"/>
  <c r="D82" i="15" s="1"/>
  <c r="C200" i="5"/>
  <c r="C39" i="15" s="1"/>
  <c r="C198" i="5"/>
  <c r="A79" i="15" s="1"/>
  <c r="C196" i="5"/>
  <c r="A9" i="15" s="1"/>
  <c r="C197" i="5"/>
  <c r="A36" i="15" s="1"/>
  <c r="E187" i="5"/>
  <c r="E186" i="5"/>
  <c r="E184" i="5"/>
  <c r="E182" i="5"/>
  <c r="E183" i="5"/>
  <c r="D187" i="5"/>
  <c r="D186" i="5"/>
  <c r="D184" i="5"/>
  <c r="D182" i="5"/>
  <c r="D183" i="5"/>
  <c r="C187" i="5"/>
  <c r="D39" i="14" s="1"/>
  <c r="C186" i="5"/>
  <c r="C82" i="14" s="1"/>
  <c r="C184" i="5"/>
  <c r="C182" i="5"/>
  <c r="C183" i="5"/>
  <c r="E173" i="5"/>
  <c r="E172" i="5"/>
  <c r="E170" i="5"/>
  <c r="E168" i="5"/>
  <c r="E169" i="5"/>
  <c r="D173" i="5"/>
  <c r="D172" i="5"/>
  <c r="D170" i="5"/>
  <c r="D168" i="5"/>
  <c r="D169" i="5"/>
  <c r="C173" i="5"/>
  <c r="C172" i="5"/>
  <c r="C39" i="13" s="1"/>
  <c r="C170" i="5"/>
  <c r="A79" i="13" s="1"/>
  <c r="C168" i="5"/>
  <c r="C169" i="5"/>
  <c r="E159" i="5"/>
  <c r="E158" i="5"/>
  <c r="E156" i="5"/>
  <c r="E154" i="5"/>
  <c r="E155" i="5"/>
  <c r="D159" i="5"/>
  <c r="D158" i="5"/>
  <c r="D156" i="5"/>
  <c r="D154" i="5"/>
  <c r="D155" i="5"/>
  <c r="D144" i="5"/>
  <c r="C159" i="5"/>
  <c r="D82" i="12" s="1"/>
  <c r="C158" i="5"/>
  <c r="C82" i="12" s="1"/>
  <c r="C156" i="5"/>
  <c r="A79" i="12" s="1"/>
  <c r="C154" i="5"/>
  <c r="C155" i="5"/>
  <c r="E145" i="5"/>
  <c r="E144" i="5"/>
  <c r="E142" i="5"/>
  <c r="E140" i="5"/>
  <c r="E141" i="5"/>
  <c r="D145" i="5"/>
  <c r="D142" i="5"/>
  <c r="D140" i="5"/>
  <c r="D141" i="5"/>
  <c r="E131" i="5"/>
  <c r="E130" i="5"/>
  <c r="E128" i="5"/>
  <c r="E126" i="5"/>
  <c r="E127" i="5"/>
  <c r="D131" i="5"/>
  <c r="D130" i="5"/>
  <c r="D128" i="5"/>
  <c r="D126" i="5"/>
  <c r="D127" i="5"/>
  <c r="C145" i="5"/>
  <c r="D82" i="11" s="1"/>
  <c r="C144" i="5"/>
  <c r="C12" i="11" s="1"/>
  <c r="C126" i="5"/>
  <c r="A36" i="10" s="1"/>
  <c r="C128" i="5"/>
  <c r="A79" i="10" s="1"/>
  <c r="C142" i="5"/>
  <c r="A79" i="11" s="1"/>
  <c r="C140" i="5"/>
  <c r="A9" i="11" s="1"/>
  <c r="C141" i="5"/>
  <c r="C131" i="5"/>
  <c r="D39" i="10" s="1"/>
  <c r="C130" i="5"/>
  <c r="C39" i="10" s="1"/>
  <c r="C127" i="5"/>
  <c r="E117" i="5"/>
  <c r="E116" i="5"/>
  <c r="E114" i="5"/>
  <c r="E112" i="5"/>
  <c r="E113" i="5"/>
  <c r="D114" i="5"/>
  <c r="D112" i="5"/>
  <c r="D113" i="5"/>
  <c r="D117" i="5"/>
  <c r="D116" i="5"/>
  <c r="C117" i="5"/>
  <c r="D39" i="9" s="1"/>
  <c r="C116" i="5"/>
  <c r="C39" i="9" s="1"/>
  <c r="C114" i="5"/>
  <c r="A79" i="9" s="1"/>
  <c r="C112" i="5"/>
  <c r="C113" i="5"/>
  <c r="E103" i="5"/>
  <c r="E102" i="5"/>
  <c r="E100" i="5"/>
  <c r="E98" i="5"/>
  <c r="E99" i="5"/>
  <c r="D103" i="5"/>
  <c r="D102" i="5"/>
  <c r="D100" i="5"/>
  <c r="D98" i="5"/>
  <c r="D99" i="5"/>
  <c r="C100" i="5"/>
  <c r="A79" i="7" s="1"/>
  <c r="C98" i="5"/>
  <c r="C99" i="5"/>
  <c r="C103" i="5"/>
  <c r="D82" i="7" s="1"/>
  <c r="C102" i="5"/>
  <c r="C82" i="7" s="1"/>
  <c r="E12" i="5"/>
  <c r="E11" i="5"/>
  <c r="E9" i="5"/>
  <c r="E7" i="5"/>
  <c r="E8" i="5"/>
  <c r="D12" i="5"/>
  <c r="D11" i="5"/>
  <c r="D9" i="5"/>
  <c r="D7" i="5"/>
  <c r="D8" i="5"/>
  <c r="C12" i="5"/>
  <c r="C11" i="5"/>
  <c r="C9" i="5"/>
  <c r="C7" i="5"/>
  <c r="C8" i="5"/>
  <c r="D3" i="5"/>
  <c r="C13" i="5" s="1"/>
  <c r="A101" i="18"/>
  <c r="A99" i="18"/>
  <c r="J82" i="18"/>
  <c r="F82" i="18"/>
  <c r="J39" i="18"/>
  <c r="F39" i="18"/>
  <c r="D39" i="18"/>
  <c r="D12" i="18"/>
  <c r="A100" i="18"/>
  <c r="A98" i="18"/>
  <c r="I96" i="18"/>
  <c r="E96" i="18"/>
  <c r="I95" i="18"/>
  <c r="E95" i="18"/>
  <c r="I94" i="18"/>
  <c r="E94" i="18"/>
  <c r="I93" i="18"/>
  <c r="E93" i="18"/>
  <c r="I92" i="18"/>
  <c r="E92" i="18"/>
  <c r="I91" i="18"/>
  <c r="E91" i="18"/>
  <c r="I90" i="18"/>
  <c r="E90" i="18"/>
  <c r="I89" i="18"/>
  <c r="E89" i="18"/>
  <c r="I88" i="18"/>
  <c r="E88" i="18"/>
  <c r="I87" i="18"/>
  <c r="E87" i="18"/>
  <c r="I86" i="18"/>
  <c r="E86" i="18"/>
  <c r="I85" i="18"/>
  <c r="E85" i="18"/>
  <c r="I84" i="18"/>
  <c r="E84" i="18"/>
  <c r="I83" i="18"/>
  <c r="E83" i="18"/>
  <c r="A33" i="18"/>
  <c r="I29" i="18"/>
  <c r="E29" i="18"/>
  <c r="I28" i="18"/>
  <c r="E28" i="18"/>
  <c r="I27" i="18"/>
  <c r="E27" i="18"/>
  <c r="I26" i="18"/>
  <c r="E26" i="18"/>
  <c r="I25" i="18"/>
  <c r="E25" i="18"/>
  <c r="I24" i="18"/>
  <c r="E24" i="18"/>
  <c r="I23" i="18"/>
  <c r="E23" i="18"/>
  <c r="I22" i="18"/>
  <c r="E22" i="18"/>
  <c r="I21" i="18"/>
  <c r="E21" i="18"/>
  <c r="I20" i="18"/>
  <c r="E20" i="18"/>
  <c r="I19" i="18"/>
  <c r="E19" i="18"/>
  <c r="I18" i="18"/>
  <c r="E18" i="18"/>
  <c r="I17" i="18"/>
  <c r="E17" i="18"/>
  <c r="I16" i="18"/>
  <c r="E16" i="18"/>
  <c r="I15" i="18"/>
  <c r="E15" i="18"/>
  <c r="I14" i="18"/>
  <c r="I13" i="18"/>
  <c r="E13" i="18"/>
  <c r="J12" i="18"/>
  <c r="F12" i="18"/>
  <c r="A7" i="18"/>
  <c r="A101" i="17"/>
  <c r="A99" i="17"/>
  <c r="A79" i="17"/>
  <c r="J82" i="17"/>
  <c r="F82" i="17"/>
  <c r="D82" i="17"/>
  <c r="J39" i="17"/>
  <c r="F39" i="17"/>
  <c r="D39" i="17"/>
  <c r="A100" i="17"/>
  <c r="A98" i="17"/>
  <c r="I96" i="17"/>
  <c r="E96" i="17"/>
  <c r="I95" i="17"/>
  <c r="E95" i="17"/>
  <c r="I94" i="17"/>
  <c r="E94" i="17"/>
  <c r="I93" i="17"/>
  <c r="E93" i="17"/>
  <c r="I92" i="17"/>
  <c r="E92" i="17"/>
  <c r="I91" i="17"/>
  <c r="E91" i="17"/>
  <c r="I90" i="17"/>
  <c r="E90" i="17"/>
  <c r="I89" i="17"/>
  <c r="E89" i="17"/>
  <c r="I88" i="17"/>
  <c r="E88" i="17"/>
  <c r="I87" i="17"/>
  <c r="E87" i="17"/>
  <c r="I86" i="17"/>
  <c r="E86" i="17"/>
  <c r="I85" i="17"/>
  <c r="E85" i="17"/>
  <c r="I84" i="17"/>
  <c r="E84" i="17"/>
  <c r="I83" i="17"/>
  <c r="E83" i="17"/>
  <c r="A33" i="17"/>
  <c r="I31" i="17"/>
  <c r="I29" i="17"/>
  <c r="E29" i="17"/>
  <c r="I28" i="17"/>
  <c r="E28" i="17"/>
  <c r="I27" i="17"/>
  <c r="E27" i="17"/>
  <c r="I26" i="17"/>
  <c r="E26" i="17"/>
  <c r="I25" i="17"/>
  <c r="E25" i="17"/>
  <c r="I24" i="17"/>
  <c r="E24" i="17"/>
  <c r="I23" i="17"/>
  <c r="E23" i="17"/>
  <c r="I22" i="17"/>
  <c r="E22" i="17"/>
  <c r="I21" i="17"/>
  <c r="E21" i="17"/>
  <c r="I20" i="17"/>
  <c r="E20" i="17"/>
  <c r="I19" i="17"/>
  <c r="E19" i="17"/>
  <c r="I18" i="17"/>
  <c r="E18" i="17"/>
  <c r="I17" i="17"/>
  <c r="E17" i="17"/>
  <c r="I16" i="17"/>
  <c r="E16" i="17"/>
  <c r="I15" i="17"/>
  <c r="E15" i="17"/>
  <c r="I14" i="17"/>
  <c r="E14" i="17"/>
  <c r="I13" i="17"/>
  <c r="E13" i="17"/>
  <c r="J12" i="17"/>
  <c r="F12" i="17"/>
  <c r="A7" i="17"/>
  <c r="A101" i="16"/>
  <c r="A99" i="16"/>
  <c r="A79" i="16"/>
  <c r="J82" i="16"/>
  <c r="F82" i="16"/>
  <c r="D82" i="16"/>
  <c r="C82" i="16"/>
  <c r="J39" i="16"/>
  <c r="F39" i="16"/>
  <c r="D39" i="16"/>
  <c r="C39" i="16"/>
  <c r="D12" i="16"/>
  <c r="C12" i="16"/>
  <c r="A9" i="16"/>
  <c r="A100" i="16"/>
  <c r="A98" i="16"/>
  <c r="I96" i="16"/>
  <c r="E96" i="16"/>
  <c r="I95" i="16"/>
  <c r="E95" i="16"/>
  <c r="I94" i="16"/>
  <c r="E94" i="16"/>
  <c r="I93" i="16"/>
  <c r="E93" i="16"/>
  <c r="I92" i="16"/>
  <c r="E92" i="16"/>
  <c r="I91" i="16"/>
  <c r="E91" i="16"/>
  <c r="I90" i="16"/>
  <c r="E90" i="16"/>
  <c r="I89" i="16"/>
  <c r="E89" i="16"/>
  <c r="I88" i="16"/>
  <c r="E88" i="16"/>
  <c r="I87" i="16"/>
  <c r="E87" i="16"/>
  <c r="I86" i="16"/>
  <c r="E86" i="16"/>
  <c r="I85" i="16"/>
  <c r="E85" i="16"/>
  <c r="I84" i="16"/>
  <c r="E84" i="16"/>
  <c r="I83" i="16"/>
  <c r="E83" i="16"/>
  <c r="A33" i="16"/>
  <c r="I29" i="16"/>
  <c r="E29" i="16"/>
  <c r="I28" i="16"/>
  <c r="E28" i="16"/>
  <c r="I27" i="16"/>
  <c r="E27" i="16"/>
  <c r="I26" i="16"/>
  <c r="E26" i="16"/>
  <c r="I25" i="16"/>
  <c r="E25" i="16"/>
  <c r="I24" i="16"/>
  <c r="E24" i="16"/>
  <c r="I23" i="16"/>
  <c r="E23" i="16"/>
  <c r="I22" i="16"/>
  <c r="E22" i="16"/>
  <c r="I21" i="16"/>
  <c r="E21" i="16"/>
  <c r="I20" i="16"/>
  <c r="E20" i="16"/>
  <c r="I19" i="16"/>
  <c r="E19" i="16"/>
  <c r="I18" i="16"/>
  <c r="E18" i="16"/>
  <c r="I17" i="16"/>
  <c r="E17" i="16"/>
  <c r="I16" i="16"/>
  <c r="E16" i="16"/>
  <c r="I15" i="16"/>
  <c r="E15" i="16"/>
  <c r="I14" i="16"/>
  <c r="E14" i="16"/>
  <c r="I13" i="16"/>
  <c r="E13" i="16"/>
  <c r="J12" i="16"/>
  <c r="F12" i="16"/>
  <c r="A7" i="16"/>
  <c r="A101" i="15"/>
  <c r="A99" i="15"/>
  <c r="J82" i="15"/>
  <c r="F82" i="15"/>
  <c r="J39" i="15"/>
  <c r="F39" i="15"/>
  <c r="A100" i="15"/>
  <c r="A98" i="15"/>
  <c r="I96" i="15"/>
  <c r="E96" i="15"/>
  <c r="I95" i="15"/>
  <c r="E95" i="15"/>
  <c r="I94" i="15"/>
  <c r="E94" i="15"/>
  <c r="I93" i="15"/>
  <c r="E93" i="15"/>
  <c r="I92" i="15"/>
  <c r="E92" i="15"/>
  <c r="I91" i="15"/>
  <c r="E91" i="15"/>
  <c r="I90" i="15"/>
  <c r="E90" i="15"/>
  <c r="I89" i="15"/>
  <c r="E89" i="15"/>
  <c r="I88" i="15"/>
  <c r="E88" i="15"/>
  <c r="I87" i="15"/>
  <c r="E87" i="15"/>
  <c r="I86" i="15"/>
  <c r="E86" i="15"/>
  <c r="I85" i="15"/>
  <c r="E85" i="15"/>
  <c r="I84" i="15"/>
  <c r="E84" i="15"/>
  <c r="I83" i="15"/>
  <c r="E83" i="15"/>
  <c r="A33" i="15"/>
  <c r="I29" i="15"/>
  <c r="E29" i="15"/>
  <c r="I28" i="15"/>
  <c r="E28" i="15"/>
  <c r="I27" i="15"/>
  <c r="E27" i="15"/>
  <c r="I26" i="15"/>
  <c r="E26" i="15"/>
  <c r="I25" i="15"/>
  <c r="E25" i="15"/>
  <c r="I24" i="15"/>
  <c r="E24" i="15"/>
  <c r="I23" i="15"/>
  <c r="E23" i="15"/>
  <c r="I22" i="15"/>
  <c r="E22" i="15"/>
  <c r="I21" i="15"/>
  <c r="E21" i="15"/>
  <c r="I20" i="15"/>
  <c r="E20" i="15"/>
  <c r="I19" i="15"/>
  <c r="E19" i="15"/>
  <c r="I18" i="15"/>
  <c r="E18" i="15"/>
  <c r="I17" i="15"/>
  <c r="E17" i="15"/>
  <c r="I16" i="15"/>
  <c r="E16" i="15"/>
  <c r="I15" i="15"/>
  <c r="E15" i="15"/>
  <c r="I14" i="15"/>
  <c r="E14" i="15"/>
  <c r="I13" i="15"/>
  <c r="E13" i="15"/>
  <c r="J12" i="15"/>
  <c r="F12" i="15"/>
  <c r="A7" i="15"/>
  <c r="A101" i="14"/>
  <c r="A99" i="14"/>
  <c r="A79" i="14"/>
  <c r="A36" i="14"/>
  <c r="J82" i="14"/>
  <c r="F82" i="14"/>
  <c r="J39" i="14"/>
  <c r="F39" i="14"/>
  <c r="A9" i="14"/>
  <c r="A100" i="14"/>
  <c r="A98" i="14"/>
  <c r="I96" i="14"/>
  <c r="E96" i="14"/>
  <c r="I95" i="14"/>
  <c r="E95" i="14"/>
  <c r="I94" i="14"/>
  <c r="E94" i="14"/>
  <c r="I93" i="14"/>
  <c r="E93" i="14"/>
  <c r="I92" i="14"/>
  <c r="E92" i="14"/>
  <c r="I91" i="14"/>
  <c r="E91" i="14"/>
  <c r="I90" i="14"/>
  <c r="E90" i="14"/>
  <c r="I89" i="14"/>
  <c r="E89" i="14"/>
  <c r="I88" i="14"/>
  <c r="E88" i="14"/>
  <c r="I87" i="14"/>
  <c r="E87" i="14"/>
  <c r="I86" i="14"/>
  <c r="E86" i="14"/>
  <c r="I85" i="14"/>
  <c r="E85" i="14"/>
  <c r="I84" i="14"/>
  <c r="E84" i="14"/>
  <c r="I83" i="14"/>
  <c r="E83" i="14"/>
  <c r="A33" i="14"/>
  <c r="I29" i="14"/>
  <c r="E29" i="14"/>
  <c r="I28" i="14"/>
  <c r="E28" i="14"/>
  <c r="I27" i="14"/>
  <c r="E27" i="14"/>
  <c r="I26" i="14"/>
  <c r="E26" i="14"/>
  <c r="I25" i="14"/>
  <c r="E25" i="14"/>
  <c r="I24" i="14"/>
  <c r="E24" i="14"/>
  <c r="I23" i="14"/>
  <c r="E23" i="14"/>
  <c r="I22" i="14"/>
  <c r="E22" i="14"/>
  <c r="I21" i="14"/>
  <c r="E21" i="14"/>
  <c r="I20" i="14"/>
  <c r="E20" i="14"/>
  <c r="I19" i="14"/>
  <c r="E19" i="14"/>
  <c r="I18" i="14"/>
  <c r="E18" i="14"/>
  <c r="I17" i="14"/>
  <c r="E17" i="14"/>
  <c r="I16" i="14"/>
  <c r="E16" i="14"/>
  <c r="I15" i="14"/>
  <c r="E15" i="14"/>
  <c r="I14" i="14"/>
  <c r="E14" i="14"/>
  <c r="I13" i="14"/>
  <c r="E13" i="14"/>
  <c r="J12" i="14"/>
  <c r="F12" i="14"/>
  <c r="A7" i="14"/>
  <c r="A101" i="13"/>
  <c r="A99" i="13"/>
  <c r="A36" i="13"/>
  <c r="J82" i="13"/>
  <c r="F82" i="13"/>
  <c r="D82" i="13"/>
  <c r="J39" i="13"/>
  <c r="F39" i="13"/>
  <c r="D39" i="13"/>
  <c r="D12" i="13"/>
  <c r="A9" i="13"/>
  <c r="A100" i="13"/>
  <c r="A98" i="13"/>
  <c r="I96" i="13"/>
  <c r="E96" i="13"/>
  <c r="I95" i="13"/>
  <c r="E95" i="13"/>
  <c r="I94" i="13"/>
  <c r="E94" i="13"/>
  <c r="I93" i="13"/>
  <c r="E93" i="13"/>
  <c r="I92" i="13"/>
  <c r="E92" i="13"/>
  <c r="I91" i="13"/>
  <c r="E91" i="13"/>
  <c r="I90" i="13"/>
  <c r="E90" i="13"/>
  <c r="I89" i="13"/>
  <c r="E89" i="13"/>
  <c r="I88" i="13"/>
  <c r="E88" i="13"/>
  <c r="I87" i="13"/>
  <c r="E87" i="13"/>
  <c r="I86" i="13"/>
  <c r="E86" i="13"/>
  <c r="I85" i="13"/>
  <c r="E85" i="13"/>
  <c r="I84" i="13"/>
  <c r="E84" i="13"/>
  <c r="I83" i="13"/>
  <c r="E83" i="13"/>
  <c r="A33" i="13"/>
  <c r="I29" i="13"/>
  <c r="E29" i="13"/>
  <c r="I28" i="13"/>
  <c r="E28" i="13"/>
  <c r="I27" i="13"/>
  <c r="E27" i="13"/>
  <c r="I26" i="13"/>
  <c r="E26" i="13"/>
  <c r="I25" i="13"/>
  <c r="E25" i="13"/>
  <c r="I24" i="13"/>
  <c r="E24" i="13"/>
  <c r="I23" i="13"/>
  <c r="E23" i="13"/>
  <c r="I22" i="13"/>
  <c r="E22" i="13"/>
  <c r="I21" i="13"/>
  <c r="E21" i="13"/>
  <c r="I20" i="13"/>
  <c r="E20" i="13"/>
  <c r="I19" i="13"/>
  <c r="E19" i="13"/>
  <c r="I18" i="13"/>
  <c r="E18" i="13"/>
  <c r="I17" i="13"/>
  <c r="E17" i="13"/>
  <c r="I16" i="13"/>
  <c r="E16" i="13"/>
  <c r="I15" i="13"/>
  <c r="E15" i="13"/>
  <c r="I14" i="13"/>
  <c r="E14" i="13"/>
  <c r="I13" i="13"/>
  <c r="E13" i="13"/>
  <c r="J12" i="13"/>
  <c r="F12" i="13"/>
  <c r="A7" i="13"/>
  <c r="A101" i="12"/>
  <c r="A100" i="12"/>
  <c r="A99" i="12"/>
  <c r="J82" i="12"/>
  <c r="F82" i="12"/>
  <c r="J39" i="12"/>
  <c r="F39" i="12"/>
  <c r="A98" i="12"/>
  <c r="I96" i="12"/>
  <c r="E96" i="12"/>
  <c r="I95" i="12"/>
  <c r="E95" i="12"/>
  <c r="I94" i="12"/>
  <c r="E94" i="12"/>
  <c r="I93" i="12"/>
  <c r="E93" i="12"/>
  <c r="I92" i="12"/>
  <c r="E92" i="12"/>
  <c r="I91" i="12"/>
  <c r="E91" i="12"/>
  <c r="I90" i="12"/>
  <c r="E90" i="12"/>
  <c r="I89" i="12"/>
  <c r="E89" i="12"/>
  <c r="I88" i="12"/>
  <c r="E88" i="12"/>
  <c r="I87" i="12"/>
  <c r="E87" i="12"/>
  <c r="I86" i="12"/>
  <c r="E86" i="12"/>
  <c r="I85" i="12"/>
  <c r="E85" i="12"/>
  <c r="I84" i="12"/>
  <c r="E84" i="12"/>
  <c r="I83" i="12"/>
  <c r="E83" i="12"/>
  <c r="A33" i="12"/>
  <c r="I29" i="12"/>
  <c r="E29" i="12"/>
  <c r="I28" i="12"/>
  <c r="E28" i="12"/>
  <c r="I27" i="12"/>
  <c r="E27" i="12"/>
  <c r="I26" i="12"/>
  <c r="E26" i="12"/>
  <c r="I25" i="12"/>
  <c r="E25" i="12"/>
  <c r="I24" i="12"/>
  <c r="E24" i="12"/>
  <c r="I23" i="12"/>
  <c r="E23" i="12"/>
  <c r="I22" i="12"/>
  <c r="E22" i="12"/>
  <c r="I21" i="12"/>
  <c r="E21" i="12"/>
  <c r="I20" i="12"/>
  <c r="E20" i="12"/>
  <c r="I19" i="12"/>
  <c r="E19" i="12"/>
  <c r="I18" i="12"/>
  <c r="E18" i="12"/>
  <c r="I17" i="12"/>
  <c r="E17" i="12"/>
  <c r="I16" i="12"/>
  <c r="E16" i="12"/>
  <c r="I15" i="12"/>
  <c r="E15" i="12"/>
  <c r="I14" i="12"/>
  <c r="E14" i="12"/>
  <c r="I13" i="12"/>
  <c r="E13" i="12"/>
  <c r="J12" i="12"/>
  <c r="F12" i="12"/>
  <c r="A7" i="12"/>
  <c r="A101" i="11"/>
  <c r="A99" i="11"/>
  <c r="J82" i="11"/>
  <c r="F82" i="11"/>
  <c r="J39" i="11"/>
  <c r="F39" i="11"/>
  <c r="A100" i="11"/>
  <c r="A98" i="11"/>
  <c r="I96" i="11"/>
  <c r="E96" i="11"/>
  <c r="I95" i="11"/>
  <c r="E95" i="11"/>
  <c r="I94" i="11"/>
  <c r="E94" i="11"/>
  <c r="I93" i="11"/>
  <c r="E93" i="11"/>
  <c r="I92" i="11"/>
  <c r="E92" i="11"/>
  <c r="I91" i="11"/>
  <c r="E91" i="11"/>
  <c r="I90" i="11"/>
  <c r="E90" i="11"/>
  <c r="I89" i="11"/>
  <c r="E89" i="11"/>
  <c r="I88" i="11"/>
  <c r="E88" i="11"/>
  <c r="I87" i="11"/>
  <c r="E87" i="11"/>
  <c r="I86" i="11"/>
  <c r="E86" i="11"/>
  <c r="I85" i="11"/>
  <c r="E85" i="11"/>
  <c r="I84" i="11"/>
  <c r="E84" i="11"/>
  <c r="I83" i="11"/>
  <c r="E83" i="11"/>
  <c r="A33" i="11"/>
  <c r="I31" i="11"/>
  <c r="I29" i="11"/>
  <c r="E29" i="11"/>
  <c r="I28" i="11"/>
  <c r="E28" i="11"/>
  <c r="I27" i="11"/>
  <c r="E27" i="11"/>
  <c r="I26" i="11"/>
  <c r="E26" i="11"/>
  <c r="I25" i="11"/>
  <c r="E25" i="11"/>
  <c r="I24" i="11"/>
  <c r="E24" i="11"/>
  <c r="I23" i="11"/>
  <c r="E23" i="11"/>
  <c r="I22" i="11"/>
  <c r="E22" i="11"/>
  <c r="I21" i="11"/>
  <c r="E21" i="11"/>
  <c r="I20" i="11"/>
  <c r="E20" i="11"/>
  <c r="I19" i="11"/>
  <c r="E19" i="11"/>
  <c r="I18" i="11"/>
  <c r="E18" i="11"/>
  <c r="I17" i="11"/>
  <c r="E17" i="11"/>
  <c r="I16" i="11"/>
  <c r="E16" i="11"/>
  <c r="I15" i="11"/>
  <c r="E15" i="11"/>
  <c r="I14" i="11"/>
  <c r="E14" i="11"/>
  <c r="I13" i="11"/>
  <c r="E13" i="11"/>
  <c r="J12" i="11"/>
  <c r="F12" i="11"/>
  <c r="A7" i="11"/>
  <c r="J82" i="10"/>
  <c r="F82" i="10"/>
  <c r="J39" i="10"/>
  <c r="F39" i="10"/>
  <c r="I96" i="10"/>
  <c r="E96" i="10"/>
  <c r="I95" i="10"/>
  <c r="E95" i="10"/>
  <c r="I94" i="10"/>
  <c r="E94" i="10"/>
  <c r="I93" i="10"/>
  <c r="E93" i="10"/>
  <c r="I92" i="10"/>
  <c r="E92" i="10"/>
  <c r="I91" i="10"/>
  <c r="E91" i="10"/>
  <c r="I90" i="10"/>
  <c r="E90" i="10"/>
  <c r="I89" i="10"/>
  <c r="E89" i="10"/>
  <c r="I88" i="10"/>
  <c r="E88" i="10"/>
  <c r="I87" i="10"/>
  <c r="E87" i="10"/>
  <c r="I86" i="10"/>
  <c r="E86" i="10"/>
  <c r="I85" i="10"/>
  <c r="E85" i="10"/>
  <c r="I84" i="10"/>
  <c r="E84" i="10"/>
  <c r="I83" i="10"/>
  <c r="E83" i="10"/>
  <c r="A33" i="10"/>
  <c r="I29" i="10"/>
  <c r="E29" i="10"/>
  <c r="I28" i="10"/>
  <c r="E28" i="10"/>
  <c r="I27" i="10"/>
  <c r="E27" i="10"/>
  <c r="I25" i="10"/>
  <c r="E25" i="10"/>
  <c r="I24" i="10"/>
  <c r="E24" i="10"/>
  <c r="I23" i="10"/>
  <c r="E23" i="10"/>
  <c r="I22" i="10"/>
  <c r="E22" i="10"/>
  <c r="I21" i="10"/>
  <c r="E21" i="10"/>
  <c r="I20" i="10"/>
  <c r="E20" i="10"/>
  <c r="I19" i="10"/>
  <c r="E19" i="10"/>
  <c r="I18" i="10"/>
  <c r="E18" i="10"/>
  <c r="I17" i="10"/>
  <c r="E17" i="10"/>
  <c r="I16" i="10"/>
  <c r="E16" i="10"/>
  <c r="I15" i="10"/>
  <c r="E15" i="10"/>
  <c r="I14" i="10"/>
  <c r="E14" i="10"/>
  <c r="I13" i="10"/>
  <c r="E13" i="10"/>
  <c r="J12" i="10"/>
  <c r="F12" i="10"/>
  <c r="A7" i="10"/>
  <c r="A101" i="9"/>
  <c r="A99" i="9"/>
  <c r="J82" i="9"/>
  <c r="F82" i="9"/>
  <c r="J39" i="9"/>
  <c r="F39" i="9"/>
  <c r="A100" i="9"/>
  <c r="A98" i="9"/>
  <c r="I96" i="9"/>
  <c r="E96" i="9"/>
  <c r="I95" i="9"/>
  <c r="E95" i="9"/>
  <c r="I94" i="9"/>
  <c r="E94" i="9"/>
  <c r="I93" i="9"/>
  <c r="E93" i="9"/>
  <c r="I92" i="9"/>
  <c r="E92" i="9"/>
  <c r="I91" i="9"/>
  <c r="E91" i="9"/>
  <c r="I90" i="9"/>
  <c r="E90" i="9"/>
  <c r="I89" i="9"/>
  <c r="E89" i="9"/>
  <c r="I88" i="9"/>
  <c r="E88" i="9"/>
  <c r="I87" i="9"/>
  <c r="E87" i="9"/>
  <c r="I86" i="9"/>
  <c r="E86" i="9"/>
  <c r="I85" i="9"/>
  <c r="E85" i="9"/>
  <c r="I84" i="9"/>
  <c r="E84" i="9"/>
  <c r="I83" i="9"/>
  <c r="E83" i="9"/>
  <c r="A33" i="9"/>
  <c r="I29" i="9"/>
  <c r="E29" i="9"/>
  <c r="I28" i="9"/>
  <c r="E28" i="9"/>
  <c r="I27" i="9"/>
  <c r="E27" i="9"/>
  <c r="I23" i="9"/>
  <c r="E23" i="9"/>
  <c r="I22" i="9"/>
  <c r="E22" i="9"/>
  <c r="I21" i="9"/>
  <c r="E21" i="9"/>
  <c r="I20" i="9"/>
  <c r="E20" i="9"/>
  <c r="I19" i="9"/>
  <c r="E19" i="9"/>
  <c r="I18" i="9"/>
  <c r="E18" i="9"/>
  <c r="I17" i="9"/>
  <c r="E17" i="9"/>
  <c r="I16" i="9"/>
  <c r="E16" i="9"/>
  <c r="I15" i="9"/>
  <c r="E15" i="9"/>
  <c r="I14" i="9"/>
  <c r="E14" i="9"/>
  <c r="I13" i="9"/>
  <c r="E13" i="9"/>
  <c r="J12" i="9"/>
  <c r="F12" i="9"/>
  <c r="A7" i="9"/>
  <c r="A101" i="7"/>
  <c r="A99" i="7"/>
  <c r="A36" i="7"/>
  <c r="J82" i="7"/>
  <c r="F82" i="7"/>
  <c r="J39" i="7"/>
  <c r="F39" i="7"/>
  <c r="J12" i="7"/>
  <c r="F12" i="7"/>
  <c r="D12" i="7"/>
  <c r="A7" i="7"/>
  <c r="A9" i="7"/>
  <c r="A100" i="7"/>
  <c r="A98" i="7"/>
  <c r="I96" i="7"/>
  <c r="E96" i="7"/>
  <c r="I95" i="7"/>
  <c r="E95" i="7"/>
  <c r="I94" i="7"/>
  <c r="E94" i="7"/>
  <c r="I93" i="7"/>
  <c r="E93" i="7"/>
  <c r="I92" i="7"/>
  <c r="E92" i="7"/>
  <c r="I91" i="7"/>
  <c r="E91" i="7"/>
  <c r="I90" i="7"/>
  <c r="E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A33" i="7"/>
  <c r="I74" i="7"/>
  <c r="E74" i="7"/>
  <c r="I72" i="7"/>
  <c r="I70" i="7"/>
  <c r="E70" i="7"/>
  <c r="I69" i="7"/>
  <c r="E69" i="7"/>
  <c r="I68" i="7"/>
  <c r="E68" i="7"/>
  <c r="I67" i="7"/>
  <c r="E67" i="7"/>
  <c r="I66" i="7"/>
  <c r="E66" i="7"/>
  <c r="I63" i="7"/>
  <c r="E63" i="7"/>
  <c r="I62" i="7"/>
  <c r="E62" i="7"/>
  <c r="I61" i="7"/>
  <c r="E61" i="7"/>
  <c r="I44" i="7"/>
  <c r="E44" i="7"/>
  <c r="I43" i="7"/>
  <c r="E43" i="7"/>
  <c r="I42" i="7"/>
  <c r="E42" i="7"/>
  <c r="I41" i="7"/>
  <c r="E41" i="7"/>
  <c r="I40" i="7"/>
  <c r="E40" i="7"/>
  <c r="I29" i="7"/>
  <c r="E29" i="7"/>
  <c r="I28" i="7"/>
  <c r="E28" i="7"/>
  <c r="I27" i="7"/>
  <c r="E27" i="7"/>
  <c r="I26" i="7"/>
  <c r="E26" i="7"/>
  <c r="I25" i="7"/>
  <c r="E25" i="7"/>
  <c r="I24" i="7"/>
  <c r="E24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I15" i="7"/>
  <c r="E15" i="7"/>
  <c r="I14" i="7"/>
  <c r="E14" i="7"/>
  <c r="I13" i="7"/>
  <c r="E13" i="7"/>
  <c r="A9" i="12" l="1"/>
  <c r="I31" i="18"/>
  <c r="A36" i="9"/>
  <c r="A36" i="12"/>
  <c r="C12" i="7"/>
  <c r="A36" i="16"/>
  <c r="C39" i="7"/>
  <c r="D39" i="7"/>
  <c r="A9" i="9"/>
  <c r="C82" i="18"/>
  <c r="A36" i="11"/>
  <c r="A9" i="10"/>
  <c r="I31" i="7"/>
  <c r="I31" i="10"/>
  <c r="I31" i="16"/>
  <c r="I30" i="16"/>
  <c r="I31" i="15"/>
  <c r="I31" i="14"/>
  <c r="I30" i="14"/>
  <c r="I31" i="13"/>
  <c r="I30" i="13"/>
  <c r="I31" i="12"/>
  <c r="I30" i="10"/>
  <c r="I31" i="9"/>
  <c r="I30" i="9"/>
  <c r="I30" i="7"/>
  <c r="C12" i="12"/>
  <c r="C39" i="12"/>
  <c r="C12" i="14"/>
  <c r="C39" i="14"/>
  <c r="D39" i="15"/>
  <c r="D12" i="11"/>
  <c r="D147" i="5"/>
  <c r="C82" i="13"/>
  <c r="E146" i="5"/>
  <c r="C12" i="13"/>
  <c r="C146" i="5"/>
  <c r="E105" i="5"/>
  <c r="D118" i="5"/>
  <c r="E161" i="5"/>
  <c r="C39" i="11"/>
  <c r="D104" i="5"/>
  <c r="D119" i="5"/>
  <c r="D105" i="5"/>
  <c r="D160" i="5"/>
  <c r="C160" i="5"/>
  <c r="G82" i="12" s="1"/>
  <c r="C82" i="9"/>
  <c r="C82" i="10"/>
  <c r="C119" i="5"/>
  <c r="H12" i="9" s="1"/>
  <c r="D146" i="5"/>
  <c r="E147" i="5"/>
  <c r="C161" i="5"/>
  <c r="D161" i="5"/>
  <c r="C12" i="9"/>
  <c r="C82" i="11"/>
  <c r="D203" i="5"/>
  <c r="D217" i="5"/>
  <c r="D82" i="9"/>
  <c r="D39" i="12"/>
  <c r="D12" i="9"/>
  <c r="C12" i="10"/>
  <c r="C202" i="5"/>
  <c r="D12" i="12"/>
  <c r="C175" i="5"/>
  <c r="H39" i="13" s="1"/>
  <c r="D39" i="11"/>
  <c r="H12" i="12"/>
  <c r="D82" i="10"/>
  <c r="D12" i="10"/>
  <c r="C12" i="15"/>
  <c r="C82" i="15"/>
  <c r="E132" i="5"/>
  <c r="E189" i="5"/>
  <c r="C216" i="5"/>
  <c r="D12" i="15"/>
  <c r="C245" i="5"/>
  <c r="H39" i="18" s="1"/>
  <c r="D175" i="5"/>
  <c r="D188" i="5"/>
  <c r="E202" i="5"/>
  <c r="C105" i="5"/>
  <c r="E104" i="5"/>
  <c r="C118" i="5"/>
  <c r="E160" i="5"/>
  <c r="C174" i="5"/>
  <c r="C12" i="17"/>
  <c r="E188" i="5"/>
  <c r="C203" i="5"/>
  <c r="E231" i="5"/>
  <c r="C244" i="5"/>
  <c r="D245" i="5"/>
  <c r="C82" i="17"/>
  <c r="H12" i="18"/>
  <c r="C147" i="5"/>
  <c r="D132" i="5"/>
  <c r="E133" i="5"/>
  <c r="C188" i="5"/>
  <c r="D189" i="5"/>
  <c r="D230" i="5"/>
  <c r="D12" i="14"/>
  <c r="E118" i="5"/>
  <c r="C132" i="5"/>
  <c r="D133" i="5"/>
  <c r="E174" i="5"/>
  <c r="C189" i="5"/>
  <c r="E216" i="5"/>
  <c r="C230" i="5"/>
  <c r="D231" i="5"/>
  <c r="G82" i="11"/>
  <c r="C104" i="5"/>
  <c r="E119" i="5"/>
  <c r="C133" i="5"/>
  <c r="D174" i="5"/>
  <c r="E175" i="5"/>
  <c r="D216" i="5"/>
  <c r="E217" i="5"/>
  <c r="C231" i="5"/>
  <c r="D82" i="14"/>
  <c r="D202" i="5"/>
  <c r="E203" i="5"/>
  <c r="C217" i="5"/>
  <c r="E245" i="5"/>
  <c r="E230" i="5"/>
  <c r="D244" i="5"/>
  <c r="E244" i="5"/>
  <c r="C39" i="18"/>
  <c r="D17" i="5"/>
  <c r="E13" i="5"/>
  <c r="D13" i="5"/>
  <c r="E17" i="5"/>
  <c r="E82" i="17"/>
  <c r="E39" i="17"/>
  <c r="E82" i="18"/>
  <c r="E39" i="18"/>
  <c r="E82" i="16"/>
  <c r="E39" i="16"/>
  <c r="E82" i="15"/>
  <c r="E39" i="15"/>
  <c r="E82" i="14"/>
  <c r="E39" i="14"/>
  <c r="E82" i="13"/>
  <c r="E39" i="13"/>
  <c r="E82" i="11"/>
  <c r="E39" i="11"/>
  <c r="E82" i="10"/>
  <c r="E39" i="10"/>
  <c r="E82" i="9"/>
  <c r="E39" i="9"/>
  <c r="E82" i="7"/>
  <c r="E39" i="7"/>
  <c r="E12" i="7"/>
  <c r="E12" i="17"/>
  <c r="E12" i="14"/>
  <c r="E12" i="11"/>
  <c r="E82" i="12"/>
  <c r="E39" i="12"/>
  <c r="E12" i="16"/>
  <c r="E12" i="13"/>
  <c r="E12" i="10"/>
  <c r="E12" i="18"/>
  <c r="E12" i="9"/>
  <c r="E12" i="15"/>
  <c r="E12" i="12"/>
  <c r="C17" i="5"/>
  <c r="I30" i="11"/>
  <c r="I30" i="12"/>
  <c r="I30" i="17"/>
  <c r="E30" i="10"/>
  <c r="E30" i="7"/>
  <c r="E30" i="11"/>
  <c r="E31" i="16"/>
  <c r="E30" i="18"/>
  <c r="E31" i="11"/>
  <c r="E30" i="12"/>
  <c r="I30" i="15"/>
  <c r="E31" i="12"/>
  <c r="E31" i="13"/>
  <c r="E30" i="9"/>
  <c r="E31" i="14"/>
  <c r="E30" i="16"/>
  <c r="I30" i="18"/>
  <c r="E31" i="18"/>
  <c r="E30" i="17"/>
  <c r="E31" i="17"/>
  <c r="E30" i="15"/>
  <c r="E31" i="15"/>
  <c r="E30" i="14"/>
  <c r="E30" i="13"/>
  <c r="E31" i="10"/>
  <c r="E31" i="9"/>
  <c r="E31" i="7"/>
  <c r="G39" i="12" l="1"/>
  <c r="H82" i="9"/>
  <c r="G12" i="12"/>
  <c r="H39" i="9"/>
  <c r="G39" i="11"/>
  <c r="G12" i="11"/>
  <c r="H82" i="12"/>
  <c r="H39" i="12"/>
  <c r="H12" i="13"/>
  <c r="H82" i="13"/>
  <c r="G82" i="15"/>
  <c r="G39" i="15"/>
  <c r="G12" i="15"/>
  <c r="H82" i="18"/>
  <c r="G12" i="9"/>
  <c r="G39" i="9"/>
  <c r="G82" i="9"/>
  <c r="G82" i="16"/>
  <c r="G12" i="16"/>
  <c r="G39" i="16"/>
  <c r="H12" i="7"/>
  <c r="H39" i="7"/>
  <c r="H82" i="7"/>
  <c r="G12" i="13"/>
  <c r="G82" i="13"/>
  <c r="G39" i="13"/>
  <c r="G39" i="17"/>
  <c r="G82" i="17"/>
  <c r="G12" i="17"/>
  <c r="H39" i="16"/>
  <c r="H12" i="16"/>
  <c r="H82" i="16"/>
  <c r="G39" i="18"/>
  <c r="G82" i="18"/>
  <c r="G12" i="18"/>
  <c r="H39" i="10"/>
  <c r="H82" i="10"/>
  <c r="H12" i="10"/>
  <c r="H12" i="14"/>
  <c r="H39" i="14"/>
  <c r="H82" i="14"/>
  <c r="G82" i="14"/>
  <c r="G12" i="14"/>
  <c r="G39" i="14"/>
  <c r="H12" i="15"/>
  <c r="H39" i="15"/>
  <c r="H82" i="15"/>
  <c r="G12" i="7"/>
  <c r="G39" i="7"/>
  <c r="G82" i="7"/>
  <c r="H82" i="17"/>
  <c r="H12" i="17"/>
  <c r="H39" i="17"/>
  <c r="G39" i="10"/>
  <c r="G82" i="10"/>
  <c r="G12" i="10"/>
  <c r="H39" i="11"/>
  <c r="H82" i="11"/>
  <c r="H12" i="11"/>
  <c r="I12" i="18"/>
  <c r="I82" i="17"/>
  <c r="I39" i="17"/>
  <c r="I12" i="17"/>
  <c r="I12" i="16"/>
  <c r="I12" i="15"/>
  <c r="I12" i="14"/>
  <c r="I12" i="13"/>
  <c r="I12" i="12"/>
  <c r="I12" i="11"/>
  <c r="I12" i="10"/>
  <c r="I12" i="9"/>
  <c r="I12" i="7"/>
  <c r="I82" i="7"/>
  <c r="I82" i="18"/>
  <c r="I39" i="18"/>
  <c r="I82" i="16"/>
  <c r="I39" i="16"/>
  <c r="I82" i="15"/>
  <c r="I39" i="15"/>
  <c r="I82" i="14"/>
  <c r="I39" i="14"/>
  <c r="I82" i="13"/>
  <c r="I39" i="13"/>
  <c r="I82" i="11"/>
  <c r="I39" i="11"/>
  <c r="I82" i="10"/>
  <c r="I39" i="10"/>
  <c r="I82" i="9"/>
  <c r="I39" i="9"/>
  <c r="I39" i="7"/>
  <c r="I82" i="12"/>
  <c r="I39" i="12"/>
  <c r="A101" i="6"/>
  <c r="A100" i="6"/>
  <c r="A99" i="6"/>
  <c r="A98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F82" i="6"/>
  <c r="E82" i="6"/>
  <c r="D82" i="6"/>
  <c r="C82" i="6"/>
  <c r="A79" i="6"/>
  <c r="A33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F39" i="6"/>
  <c r="E39" i="6"/>
  <c r="D39" i="6"/>
  <c r="C39" i="6"/>
  <c r="A36" i="6"/>
  <c r="E30" i="6"/>
  <c r="A30" i="6"/>
  <c r="E29" i="6"/>
  <c r="A29" i="6"/>
  <c r="E28" i="6"/>
  <c r="A28" i="6"/>
  <c r="E27" i="6"/>
  <c r="A27" i="6"/>
  <c r="E26" i="6"/>
  <c r="A26" i="6"/>
  <c r="E25" i="6"/>
  <c r="A25" i="6"/>
  <c r="E24" i="6"/>
  <c r="A24" i="6"/>
  <c r="E23" i="6"/>
  <c r="A23" i="6"/>
  <c r="E22" i="6"/>
  <c r="A22" i="6"/>
  <c r="E21" i="6"/>
  <c r="A21" i="6"/>
  <c r="E20" i="6"/>
  <c r="A20" i="6"/>
  <c r="E19" i="6"/>
  <c r="A19" i="6"/>
  <c r="E18" i="6"/>
  <c r="A18" i="6"/>
  <c r="E17" i="6"/>
  <c r="A17" i="6"/>
  <c r="E16" i="6"/>
  <c r="A16" i="6"/>
  <c r="E15" i="6"/>
  <c r="A15" i="6"/>
  <c r="E14" i="6"/>
  <c r="A14" i="6"/>
  <c r="E13" i="6"/>
  <c r="A13" i="6"/>
  <c r="F12" i="6"/>
  <c r="E12" i="6"/>
  <c r="D12" i="6"/>
  <c r="C12" i="6"/>
  <c r="A9" i="6"/>
  <c r="A7" i="6"/>
  <c r="E31" i="6" l="1"/>
  <c r="E74" i="6"/>
</calcChain>
</file>

<file path=xl/sharedStrings.xml><?xml version="1.0" encoding="utf-8"?>
<sst xmlns="http://schemas.openxmlformats.org/spreadsheetml/2006/main" count="908" uniqueCount="621">
  <si>
    <t>Davos Klosters</t>
  </si>
  <si>
    <t>Flims Laax</t>
  </si>
  <si>
    <t>Chur</t>
  </si>
  <si>
    <t>Lenzerheide</t>
  </si>
  <si>
    <t>Prättigau</t>
  </si>
  <si>
    <t>Valposchiavo</t>
  </si>
  <si>
    <t>Viamala</t>
  </si>
  <si>
    <t>Bergün Filisur</t>
  </si>
  <si>
    <t>Disentis Sedrun</t>
  </si>
  <si>
    <t>Vals</t>
  </si>
  <si>
    <t>Graubünden</t>
  </si>
  <si>
    <t>San Bernardino, Mesolcina/Calanca</t>
  </si>
  <si>
    <t>Bündner Herrschaft</t>
  </si>
  <si>
    <t>Schweiz</t>
  </si>
  <si>
    <t>Deutschland</t>
  </si>
  <si>
    <t>Niederlande</t>
  </si>
  <si>
    <t>Italien</t>
  </si>
  <si>
    <t>Belgien</t>
  </si>
  <si>
    <t>Frankreich</t>
  </si>
  <si>
    <t>Österreich</t>
  </si>
  <si>
    <t>Japan</t>
  </si>
  <si>
    <t>Polen</t>
  </si>
  <si>
    <t>Brasilien</t>
  </si>
  <si>
    <t>Vereinigtes Königreich</t>
  </si>
  <si>
    <t>Arosa</t>
  </si>
  <si>
    <t>Surselva</t>
  </si>
  <si>
    <t>Bregaglia Engadin</t>
  </si>
  <si>
    <t>Engadin St. Moritz</t>
  </si>
  <si>
    <t>Ostschweiz</t>
  </si>
  <si>
    <t>Genf</t>
  </si>
  <si>
    <t>Wallis</t>
  </si>
  <si>
    <t>Tessin</t>
  </si>
  <si>
    <t>Zürich Region</t>
  </si>
  <si>
    <t>Luzern / Vierwaldstättersee</t>
  </si>
  <si>
    <t>Basel Region</t>
  </si>
  <si>
    <t>Bern Region</t>
  </si>
  <si>
    <t>Jura &amp; Drei-Seen-Land</t>
  </si>
  <si>
    <t>Fribourg Region</t>
  </si>
  <si>
    <t>Aktuelle Zuordnung der politischen Gemeinden zu Destinationen:</t>
  </si>
  <si>
    <t>Vereinigte Staaten</t>
  </si>
  <si>
    <t>Waadt</t>
  </si>
  <si>
    <t>-</t>
  </si>
  <si>
    <t>Kontakt: Luzius Stricker, 081 257 23 74, luzius.stricker@awt.gr.ch</t>
  </si>
  <si>
    <t>Veränderung zum
5-Jahresmittel 
in %</t>
  </si>
  <si>
    <t>Val Surses</t>
  </si>
  <si>
    <t>Aargau und Solothurn Region</t>
  </si>
  <si>
    <t xml:space="preserve"> 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</si>
  <si>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</si>
  <si>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</si>
  <si>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</si>
  <si>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</si>
  <si>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</si>
  <si>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</si>
  <si>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</si>
  <si>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</si>
  <si>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</si>
  <si>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</si>
  <si>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</si>
  <si>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</si>
  <si>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</si>
  <si>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</si>
  <si>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</si>
  <si>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</si>
  <si>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</si>
  <si>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</si>
  <si>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</si>
  <si>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</si>
  <si>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</si>
  <si>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</si>
  <si>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</si>
  <si>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</si>
  <si>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</si>
  <si>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</si>
  <si>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</si>
  <si>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</si>
  <si>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</si>
  <si>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</si>
  <si>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</si>
  <si>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</si>
  <si>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</si>
  <si>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</si>
  <si>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</si>
  <si>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</si>
  <si>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</si>
  <si>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</si>
  <si>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</si>
  <si>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</si>
  <si>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</si>
  <si>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</si>
  <si>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&lt;Legende_1&gt;</t>
  </si>
  <si>
    <t>&lt;Legende_2&gt;</t>
  </si>
  <si>
    <t>&lt;Legende_3&gt;</t>
  </si>
  <si>
    <t>&lt;Quelle_1&gt;</t>
  </si>
  <si>
    <t>&lt;Aktualisierung&gt;</t>
  </si>
  <si>
    <t>Quelle: BFS (HESTA)</t>
  </si>
  <si>
    <t>&lt;Titel1&gt;</t>
  </si>
  <si>
    <t>&lt;Titel2&gt;</t>
  </si>
  <si>
    <t>&lt;Titel3&gt;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</si>
  <si>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</si>
  <si>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</si>
  <si>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</si>
  <si>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</si>
  <si>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</si>
  <si>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</si>
  <si>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</si>
  <si>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</si>
  <si>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</si>
  <si>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</si>
  <si>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</si>
  <si>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</si>
  <si>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</si>
  <si>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</si>
  <si>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</si>
  <si>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</si>
  <si>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</si>
  <si>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&lt;Zeilentitel_48&gt;</t>
  </si>
  <si>
    <t>&lt;Zeilentitel_49&gt;</t>
  </si>
  <si>
    <t>&lt;Zeilentitel_50&gt;</t>
  </si>
  <si>
    <t>&lt;Zeilentitel_51&gt;</t>
  </si>
  <si>
    <t>&lt;Zeilentitel_52&gt;</t>
  </si>
  <si>
    <t>&lt;Zeilentitel_53&gt;</t>
  </si>
  <si>
    <t>&lt;Zeilentitel_54&gt;</t>
  </si>
  <si>
    <t>&lt;Zeilentitel_55&gt;</t>
  </si>
  <si>
    <t>&lt;Zeilentitel_56&gt;</t>
  </si>
  <si>
    <t>&lt;Zeilentitel_57&gt;</t>
  </si>
  <si>
    <t>&lt;SpaltenTitel_4&gt;</t>
  </si>
  <si>
    <t>&lt;SpaltenTitel_5&gt;</t>
  </si>
  <si>
    <t>&lt;SpaltenTitel_6&gt;</t>
  </si>
  <si>
    <t>&lt;SpaltenTitel_7&gt;</t>
  </si>
  <si>
    <t>&lt;SpaltenTitel_8&gt;</t>
  </si>
  <si>
    <t>Midada a la
media da 5 onns 
en %</t>
  </si>
  <si>
    <t>Variazione alla media quinquennale in %</t>
  </si>
  <si>
    <t>Attribuziun actuala da las vischnancas politicas a destinaziuns:</t>
  </si>
  <si>
    <t>Contact: Luzius Stricker, 081 257 23 74, luzius.stricker@awt.gr.ch</t>
  </si>
  <si>
    <t>Contatto: Luzius Stricker, 081 257 23 74, luzius.stricker@awt.gr.ch</t>
  </si>
  <si>
    <t>Attuale assegnazione dei comuni politici alle destinazioni:</t>
  </si>
  <si>
    <t>Svizra</t>
  </si>
  <si>
    <t>Germania</t>
  </si>
  <si>
    <t>Italia</t>
  </si>
  <si>
    <t>Frantscha</t>
  </si>
  <si>
    <t>Austria</t>
  </si>
  <si>
    <t>Pajais Bass</t>
  </si>
  <si>
    <t>Belgia</t>
  </si>
  <si>
    <t>Reginavel Unì</t>
  </si>
  <si>
    <t>Stadis Unids</t>
  </si>
  <si>
    <t>Pologna</t>
  </si>
  <si>
    <t>Giapun</t>
  </si>
  <si>
    <t xml:space="preserve">India </t>
  </si>
  <si>
    <t>Brasilia</t>
  </si>
  <si>
    <t>Grischun</t>
  </si>
  <si>
    <t>Svizzera</t>
  </si>
  <si>
    <t>Francia</t>
  </si>
  <si>
    <t>Paesi Bassi</t>
  </si>
  <si>
    <t>Belgio</t>
  </si>
  <si>
    <t>Regno Unito</t>
  </si>
  <si>
    <t>Stati Uniti</t>
  </si>
  <si>
    <t>Polonia</t>
  </si>
  <si>
    <t>Giappone</t>
  </si>
  <si>
    <t>Brasile</t>
  </si>
  <si>
    <t>Grigioni</t>
  </si>
  <si>
    <t xml:space="preserve">Arosa </t>
  </si>
  <si>
    <t>Bündner Herschaft</t>
  </si>
  <si>
    <t>Regiun Argovia e Solturn</t>
  </si>
  <si>
    <t>Regione Argovia e Soletta</t>
  </si>
  <si>
    <t>Regiun Basilea</t>
  </si>
  <si>
    <t>Regione Basilea</t>
  </si>
  <si>
    <t>Regiun Berna</t>
  </si>
  <si>
    <t>Regione Berna</t>
  </si>
  <si>
    <t>Regiun da Friburg</t>
  </si>
  <si>
    <t>Regione Friburgo</t>
  </si>
  <si>
    <t>Genevra</t>
  </si>
  <si>
    <t>Ginevra</t>
  </si>
  <si>
    <t>Giura &amp; Trais lais</t>
  </si>
  <si>
    <t>Giura &amp; Tre Laghi</t>
  </si>
  <si>
    <t>Lucerna / Lai dals Quatter Chantuns</t>
  </si>
  <si>
    <t>Lucerna / Lago dei Quattro Cantoni</t>
  </si>
  <si>
    <t>Svizra Orientala</t>
  </si>
  <si>
    <t>Svizzera orientale</t>
  </si>
  <si>
    <t>Ticino</t>
  </si>
  <si>
    <t>Vallais</t>
  </si>
  <si>
    <t>Vallese</t>
  </si>
  <si>
    <t>Vad</t>
  </si>
  <si>
    <t>Vaud</t>
  </si>
  <si>
    <t>Regiun da Turitg</t>
  </si>
  <si>
    <t>Regione Zurigo</t>
  </si>
  <si>
    <t>Destinationen/destinaziuns/destinazioni</t>
  </si>
  <si>
    <t>Funtauna: UST (HESTA)</t>
  </si>
  <si>
    <t>Fonte: UST (HESTA)</t>
  </si>
  <si>
    <t>T2</t>
  </si>
  <si>
    <t>&lt;T2Titel1&gt;</t>
  </si>
  <si>
    <t>&lt;T3Titel2&gt;</t>
  </si>
  <si>
    <t>&lt;T3Titel3&gt;</t>
  </si>
  <si>
    <t>&lt;T3SpaltenTitel_1&gt;</t>
  </si>
  <si>
    <t>&lt;T3SpaltenTitel_2&gt;</t>
  </si>
  <si>
    <t>&lt;T3SpaltenTitel_5&gt;</t>
  </si>
  <si>
    <t>&lt;T3SpaltenTitel_6&gt;</t>
  </si>
  <si>
    <t>&lt;T3Legende_3&gt;</t>
  </si>
  <si>
    <t>&lt;T3Aktualisierung&gt;</t>
  </si>
  <si>
    <t>&lt;T2Titel2&gt;</t>
  </si>
  <si>
    <t>&lt;T2Titel3&gt;</t>
  </si>
  <si>
    <t>&lt;T2SpaltenTitel_1&gt;</t>
  </si>
  <si>
    <t>&lt;T2SpaltenTitel_2&gt;</t>
  </si>
  <si>
    <t>&lt;T2SpaltenTitel_5&gt;</t>
  </si>
  <si>
    <t>&lt;T2SpaltenTitel_6&gt;</t>
  </si>
  <si>
    <t>&lt;T2Legende_3&gt;</t>
  </si>
  <si>
    <t>&lt;T2Aktualisierung&gt;</t>
  </si>
  <si>
    <t>&lt;T3Titel1&gt;</t>
  </si>
  <si>
    <t>T3</t>
  </si>
  <si>
    <t>T4</t>
  </si>
  <si>
    <t>&lt;T4Titel1&gt;</t>
  </si>
  <si>
    <t>&lt;T4Titel2&gt;</t>
  </si>
  <si>
    <t>&lt;T4Titel3&gt;</t>
  </si>
  <si>
    <t>&lt;T4SpaltenTitel_1&gt;</t>
  </si>
  <si>
    <t>&lt;T4SpaltenTitel_2&gt;</t>
  </si>
  <si>
    <t>&lt;T5SpaltenTitel_5&gt;</t>
  </si>
  <si>
    <t>&lt;T4SpaltenTitel_6&gt;</t>
  </si>
  <si>
    <t>&lt;T4SpaltenTitel_5&gt;</t>
  </si>
  <si>
    <t>&lt;T4Legende_3&gt;</t>
  </si>
  <si>
    <t>&lt;T4Aktualisierung&gt;</t>
  </si>
  <si>
    <t>T5</t>
  </si>
  <si>
    <t>&lt;T5Titel1&gt;</t>
  </si>
  <si>
    <t>&lt;T5Titel2&gt;</t>
  </si>
  <si>
    <t>&lt;T5Titel3&gt;</t>
  </si>
  <si>
    <t>&lt;T5SpaltenTitel_1&gt;</t>
  </si>
  <si>
    <t>&lt;T5SpaltenTitel_2&gt;</t>
  </si>
  <si>
    <t>&lt;T5SpaltenTitel_6&gt;</t>
  </si>
  <si>
    <t>&lt;T5Legende_3&gt;</t>
  </si>
  <si>
    <t>&lt;T5Aktualisierung&gt;</t>
  </si>
  <si>
    <t>T6</t>
  </si>
  <si>
    <t>&lt;T6Titel1&gt;</t>
  </si>
  <si>
    <t>&lt;T6Titel2&gt;</t>
  </si>
  <si>
    <t>&lt;T6Titel3&gt;</t>
  </si>
  <si>
    <t>&lt;T6SpaltenTitel_1&gt;</t>
  </si>
  <si>
    <t>&lt;T6SpaltenTitel_2&gt;</t>
  </si>
  <si>
    <t>&lt;T6SpaltenTitel_5&gt;</t>
  </si>
  <si>
    <t>&lt;T6SpaltenTitel_6&gt;</t>
  </si>
  <si>
    <t>&lt;T6Legende_3&gt;</t>
  </si>
  <si>
    <t>&lt;T6Aktualisierung&gt;</t>
  </si>
  <si>
    <t>T7</t>
  </si>
  <si>
    <t>&lt;T7Titel1&gt;</t>
  </si>
  <si>
    <t>&lt;T7Titel2&gt;</t>
  </si>
  <si>
    <t>&lt;T7Titel3&gt;</t>
  </si>
  <si>
    <t>&lt;T7SpaltenTitel_1&gt;</t>
  </si>
  <si>
    <t>&lt;T7SpaltenTitel_2&gt;</t>
  </si>
  <si>
    <t>&lt;T7SpaltenTitel_5&gt;</t>
  </si>
  <si>
    <t>&lt;T7SpaltenTitel_6&gt;</t>
  </si>
  <si>
    <t>&lt;T8Legende_3&gt;</t>
  </si>
  <si>
    <t>&lt;T7Aktualisierung&gt;</t>
  </si>
  <si>
    <t>&lt;T7Legende_3&gt;</t>
  </si>
  <si>
    <t>T8</t>
  </si>
  <si>
    <t>&lt;T8Titel1&gt;</t>
  </si>
  <si>
    <t>&lt;T8Titel2&gt;</t>
  </si>
  <si>
    <t>&lt;T8Titel3&gt;</t>
  </si>
  <si>
    <t>&lt;T8SpaltenTitel_1&gt;</t>
  </si>
  <si>
    <t>&lt;T8SpaltenTitel_2&gt;</t>
  </si>
  <si>
    <t>&lt;T8SpaltenTitel_5&gt;</t>
  </si>
  <si>
    <t>&lt;T8SpaltenTitel_6&gt;</t>
  </si>
  <si>
    <t>&lt;T8Aktualisierung&gt;</t>
  </si>
  <si>
    <t>T9</t>
  </si>
  <si>
    <t>&lt;T9Titel1&gt;</t>
  </si>
  <si>
    <t>&lt;T9Titel2&gt;</t>
  </si>
  <si>
    <t>&lt;T9Titel3&gt;</t>
  </si>
  <si>
    <t>&lt;T9SpaltenTitel_1&gt;</t>
  </si>
  <si>
    <t>&lt;T9SpaltenTitel_2&gt;</t>
  </si>
  <si>
    <t>&lt;T9SpaltenTitel_5&gt;</t>
  </si>
  <si>
    <t>&lt;T9SpaltenTitel_6&gt;</t>
  </si>
  <si>
    <t>&lt;T9Legende_3&gt;</t>
  </si>
  <si>
    <t>&lt;T9Aktualisierung&gt;</t>
  </si>
  <si>
    <t>T10</t>
  </si>
  <si>
    <t>&lt;T10Titel1&gt;</t>
  </si>
  <si>
    <t>&lt;T10Titel2&gt;</t>
  </si>
  <si>
    <t>&lt;T10Titel3&gt;</t>
  </si>
  <si>
    <t>&lt;T10SpaltenTitel_1&gt;</t>
  </si>
  <si>
    <t>&lt;T10SpaltenTitel_2&gt;</t>
  </si>
  <si>
    <t>&lt;T10SpaltenTitel_5&gt;</t>
  </si>
  <si>
    <t>&lt;T10SpaltenTitel_6&gt;</t>
  </si>
  <si>
    <t>&lt;T10Legende_3&gt;</t>
  </si>
  <si>
    <t>&lt;T10Aktualisierung&gt;</t>
  </si>
  <si>
    <t>T11</t>
  </si>
  <si>
    <t>&lt;T11Titel1&gt;</t>
  </si>
  <si>
    <t>&lt;T11Titel2&gt;</t>
  </si>
  <si>
    <t>&lt;T11Titel3&gt;</t>
  </si>
  <si>
    <t>&lt;T11SpaltenTitel_1&gt;</t>
  </si>
  <si>
    <t>&lt;T11SpaltenTitel_2&gt;</t>
  </si>
  <si>
    <t>&lt;T11SpaltenTitel_5&gt;</t>
  </si>
  <si>
    <t>&lt;T11SpaltenTitel_6&gt;</t>
  </si>
  <si>
    <t>&lt;T11Legende_3&gt;</t>
  </si>
  <si>
    <t>&lt;T11Aktualisierung&gt;</t>
  </si>
  <si>
    <t>&lt;T12Titel1&gt;</t>
  </si>
  <si>
    <t>&lt;T12Titel2&gt;</t>
  </si>
  <si>
    <t>&lt;T12Titel3&gt;</t>
  </si>
  <si>
    <t>&lt;T12SpaltenTitel_1&gt;</t>
  </si>
  <si>
    <t>&lt;T12SpaltenTitel_2&gt;</t>
  </si>
  <si>
    <t>&lt;T12SpaltenTitel_5&gt;</t>
  </si>
  <si>
    <t>&lt;T12SpaltenTitel_6&gt;</t>
  </si>
  <si>
    <t>&lt;T12Legende_3&gt;</t>
  </si>
  <si>
    <t>&lt;T12Aktualisierung&gt;</t>
  </si>
  <si>
    <t>T12</t>
  </si>
  <si>
    <t>INPUT JAHRESZAHL</t>
  </si>
  <si>
    <t>&lt;Titelprov&gt;</t>
  </si>
  <si>
    <t>wenn definitiv-&gt; Zeile oben mit diesem Text ersetzen</t>
  </si>
  <si>
    <t>definitive Ergebnisse</t>
  </si>
  <si>
    <t>resultats definitivs</t>
  </si>
  <si>
    <t>cifre definitive</t>
  </si>
  <si>
    <t>Australien</t>
  </si>
  <si>
    <t>Israel</t>
  </si>
  <si>
    <t>Kanada</t>
  </si>
  <si>
    <t>China</t>
  </si>
  <si>
    <t>Indien</t>
  </si>
  <si>
    <t>übrige Golfstaaten</t>
  </si>
  <si>
    <t>übriges Südostasien</t>
  </si>
  <si>
    <t>übriges Osteuropa</t>
  </si>
  <si>
    <t>übriges Zentral- und Südamerika</t>
  </si>
  <si>
    <t>Afrikanischer Kontinent</t>
  </si>
  <si>
    <t>Südosteuropa</t>
  </si>
  <si>
    <t>&lt;Zeilentitel_58&gt;</t>
  </si>
  <si>
    <t>&lt;Zeilentitel_59&gt;</t>
  </si>
  <si>
    <t>&lt;Zeilentitel_60&gt;</t>
  </si>
  <si>
    <t>&lt;Zeilentitel_61&gt;</t>
  </si>
  <si>
    <t>&lt;Zeilentitel_62&gt;</t>
  </si>
  <si>
    <t>Weitere Ländergruppen:</t>
  </si>
  <si>
    <t>Australia</t>
  </si>
  <si>
    <t>Israele</t>
  </si>
  <si>
    <t>Canada</t>
  </si>
  <si>
    <t>Cina</t>
  </si>
  <si>
    <t>Ulteriuras gruppas da pajais:</t>
  </si>
  <si>
    <t>Altri gruppi di paesi:</t>
  </si>
  <si>
    <t>Europa sudorientale</t>
  </si>
  <si>
    <t>altri paesi dell'Europa occidentale</t>
  </si>
  <si>
    <t>altri paesi dell'Europa orientale</t>
  </si>
  <si>
    <t>altri paesi dell'America centrale e meridionale</t>
  </si>
  <si>
    <t>continente africano</t>
  </si>
  <si>
    <t>ulteriurs stadis dal Golf</t>
  </si>
  <si>
    <t>ulteriur pajais da l'Asia dal Sidost</t>
  </si>
  <si>
    <t>continent african</t>
  </si>
  <si>
    <t>Europa dal Sidost</t>
  </si>
  <si>
    <t>ulteriur pajais da l'Europa da l'Ost</t>
  </si>
  <si>
    <t>ulteriur pajais da l'America centrala e dal Sid</t>
  </si>
  <si>
    <t>altri stati del Golfo</t>
  </si>
  <si>
    <t>&lt;Zeilentitel_44.1&gt;</t>
  </si>
  <si>
    <t>&lt;Zeilentitel_44.2&gt;</t>
  </si>
  <si>
    <t>&lt;Zeilentitel_44.3&gt;</t>
  </si>
  <si>
    <t>&lt;Zeilentitel_44.4&gt;</t>
  </si>
  <si>
    <t>&lt;Zeilentitel_44.5&gt;</t>
  </si>
  <si>
    <t>&lt;Zeilentitel_44.6&gt;</t>
  </si>
  <si>
    <t>&lt;Zeilentitel_44.7&gt;</t>
  </si>
  <si>
    <t>&lt;Zeilentitel_44.8&gt;</t>
  </si>
  <si>
    <t>Tschechien</t>
  </si>
  <si>
    <t>Schweden</t>
  </si>
  <si>
    <t>Dänemark</t>
  </si>
  <si>
    <t>Spanien</t>
  </si>
  <si>
    <t>Vereinigte Arabische Emirate</t>
  </si>
  <si>
    <t>Luxemburg</t>
  </si>
  <si>
    <t>Tschechia</t>
  </si>
  <si>
    <t>Svezia</t>
  </si>
  <si>
    <t>Danemarc</t>
  </si>
  <si>
    <t>Spagna</t>
  </si>
  <si>
    <t>Emirats Arabs Unids</t>
  </si>
  <si>
    <t>Repubblica ceca</t>
  </si>
  <si>
    <t>Danimarca</t>
  </si>
  <si>
    <t>Lussemburgo</t>
  </si>
  <si>
    <t>Emirati Arabi Uniti</t>
  </si>
  <si>
    <t>&lt;Legende_1.1&gt;</t>
  </si>
  <si>
    <t>Aktuelle Zuordnung der übrigen Länder zu den Ländergruppen:</t>
  </si>
  <si>
    <t>Attuale classificazione degli altri paesi nei gruppi di paesi:</t>
  </si>
  <si>
    <t>Attribuziun actuala dals ulteriurs pajais a las gruppas da pajais:</t>
  </si>
  <si>
    <t>T13</t>
  </si>
  <si>
    <t>&lt;T13Titel1&gt;</t>
  </si>
  <si>
    <t>&lt;T13Titel2&gt;</t>
  </si>
  <si>
    <t>&lt;T13Titel3&gt;</t>
  </si>
  <si>
    <t>&lt;T13SpaltenTitel_1&gt;</t>
  </si>
  <si>
    <t>&lt;T13SpaltenTitel_2&gt;</t>
  </si>
  <si>
    <t>&lt;T13SpaltenTitel_5&gt;</t>
  </si>
  <si>
    <t>&lt;T13SpaltenTitel_6&gt;</t>
  </si>
  <si>
    <t>Ländergruppe</t>
  </si>
  <si>
    <t>Gruppa da Pajais</t>
  </si>
  <si>
    <t>Gruppo di paese</t>
  </si>
  <si>
    <t>Land</t>
  </si>
  <si>
    <t>Pajais</t>
  </si>
  <si>
    <t>Paese</t>
  </si>
  <si>
    <t>&lt;T13Zeilentitel_1&gt;</t>
  </si>
  <si>
    <t>&lt;T13Zeilentitel_2&gt;</t>
  </si>
  <si>
    <t>&lt;T13Zeilentitel_3&gt;</t>
  </si>
  <si>
    <t>Ägypten</t>
  </si>
  <si>
    <t>Argentinien</t>
  </si>
  <si>
    <t>Bahrain</t>
  </si>
  <si>
    <t>Belarus</t>
  </si>
  <si>
    <t>Bulgarien</t>
  </si>
  <si>
    <t>Chile</t>
  </si>
  <si>
    <t>Estland</t>
  </si>
  <si>
    <t>Finnland</t>
  </si>
  <si>
    <t>Griechenland</t>
  </si>
  <si>
    <t>Hongkong</t>
  </si>
  <si>
    <t>Indonesien</t>
  </si>
  <si>
    <t>Iran</t>
  </si>
  <si>
    <t>Irland</t>
  </si>
  <si>
    <t>Island</t>
  </si>
  <si>
    <t>Katar</t>
  </si>
  <si>
    <t>Korea (Süd-)</t>
  </si>
  <si>
    <t>Kroatien</t>
  </si>
  <si>
    <t>Kuwait</t>
  </si>
  <si>
    <t>Lettland</t>
  </si>
  <si>
    <t>Liechtenstein</t>
  </si>
  <si>
    <t>Litauen</t>
  </si>
  <si>
    <t>Malaysia</t>
  </si>
  <si>
    <t>Malta</t>
  </si>
  <si>
    <t>Mexiko</t>
  </si>
  <si>
    <t>Neuseeland, Ozeanien</t>
  </si>
  <si>
    <t>Norwegen</t>
  </si>
  <si>
    <t>Oman</t>
  </si>
  <si>
    <t>Philippinen</t>
  </si>
  <si>
    <t>Portugal</t>
  </si>
  <si>
    <t>Rumänien</t>
  </si>
  <si>
    <t>Russland</t>
  </si>
  <si>
    <t>Saudi-Arabien</t>
  </si>
  <si>
    <t>Serbien</t>
  </si>
  <si>
    <t>Singapur</t>
  </si>
  <si>
    <t>Slowakei</t>
  </si>
  <si>
    <t>Slowenien</t>
  </si>
  <si>
    <t>Südafrika</t>
  </si>
  <si>
    <t>Thailand</t>
  </si>
  <si>
    <t>Türkei</t>
  </si>
  <si>
    <t>Übriges Afrika</t>
  </si>
  <si>
    <t>Übriges Europa</t>
  </si>
  <si>
    <t>Übriges Nordafrika</t>
  </si>
  <si>
    <t>Übriges Süd- und Ostasien</t>
  </si>
  <si>
    <t>Übriges Südamerika</t>
  </si>
  <si>
    <t>Übriges Westasien</t>
  </si>
  <si>
    <t>Übriges Zentralamerika, Karibik</t>
  </si>
  <si>
    <t>Ukraine</t>
  </si>
  <si>
    <t>Ungarn</t>
  </si>
  <si>
    <t>Zypern</t>
  </si>
  <si>
    <t>&lt;Zeilentitel_44.9&gt;</t>
  </si>
  <si>
    <t>altri paesi di origine</t>
  </si>
  <si>
    <t>ulteriurs pajais d'origin</t>
  </si>
  <si>
    <t>übrige Herkunftsländer</t>
  </si>
  <si>
    <t>einzeln ausgewiesen</t>
  </si>
  <si>
    <t>cumprovà separadamain</t>
  </si>
  <si>
    <t>denominati individualmente</t>
  </si>
  <si>
    <t>&lt;T13Zeilentitel_4&gt;</t>
  </si>
  <si>
    <t>&lt;T13Zeilentitel_5&gt;</t>
  </si>
  <si>
    <t>Egitto</t>
  </si>
  <si>
    <t>Argentina</t>
  </si>
  <si>
    <t>Bahrein</t>
  </si>
  <si>
    <t>Bielorussia</t>
  </si>
  <si>
    <t>Bulgaria</t>
  </si>
  <si>
    <t>Cile</t>
  </si>
  <si>
    <t>Estonia</t>
  </si>
  <si>
    <t>Finlandia</t>
  </si>
  <si>
    <t>Grecia</t>
  </si>
  <si>
    <t>Hong Kong</t>
  </si>
  <si>
    <t>India</t>
  </si>
  <si>
    <t>Indonesia</t>
  </si>
  <si>
    <t>Irlanda</t>
  </si>
  <si>
    <t>Islanda</t>
  </si>
  <si>
    <t>Qatar</t>
  </si>
  <si>
    <t>Corea (Sud)</t>
  </si>
  <si>
    <t>Croazia</t>
  </si>
  <si>
    <t>Lettonia</t>
  </si>
  <si>
    <t>Lituania</t>
  </si>
  <si>
    <t>Messico</t>
  </si>
  <si>
    <t>Nuova Zelanda, Oceania</t>
  </si>
  <si>
    <t>Norvegia</t>
  </si>
  <si>
    <t>Filippine</t>
  </si>
  <si>
    <t>Portogallo</t>
  </si>
  <si>
    <t>Romania</t>
  </si>
  <si>
    <t>Russia</t>
  </si>
  <si>
    <t>Arabia Saudita</t>
  </si>
  <si>
    <t>Serbia</t>
  </si>
  <si>
    <t>Singapore</t>
  </si>
  <si>
    <t>Slovacchia</t>
  </si>
  <si>
    <t>Slovenia</t>
  </si>
  <si>
    <t>Sudafrica</t>
  </si>
  <si>
    <t>Thailandia</t>
  </si>
  <si>
    <t>Turchia</t>
  </si>
  <si>
    <t>Resto dell'Africa</t>
  </si>
  <si>
    <t>Resto dell'Europa</t>
  </si>
  <si>
    <t>Resto dell'Africa settentrionale</t>
  </si>
  <si>
    <t>Resto dell'Asia meridionale e orientale</t>
  </si>
  <si>
    <t>Resto dell'America del Sud</t>
  </si>
  <si>
    <t>Resto dell'Asia occidentale</t>
  </si>
  <si>
    <t>Resto dell'America centrale, Caraibi</t>
  </si>
  <si>
    <t>Ucraina</t>
  </si>
  <si>
    <t>Ungheria</t>
  </si>
  <si>
    <t>Cipro</t>
  </si>
  <si>
    <t>Egipta</t>
  </si>
  <si>
    <t>Finlanda</t>
  </si>
  <si>
    <t>Grezia</t>
  </si>
  <si>
    <t>Corea (Sid)</t>
  </si>
  <si>
    <t>Malaisia</t>
  </si>
  <si>
    <t>Mexico</t>
  </si>
  <si>
    <t>Nova Zelanda, Oceania</t>
  </si>
  <si>
    <t>Filippinas</t>
  </si>
  <si>
    <t>Rumenia</t>
  </si>
  <si>
    <t>Slovachia</t>
  </si>
  <si>
    <t>Africa dal Sid</t>
  </si>
  <si>
    <t>Tailanda</t>
  </si>
  <si>
    <t>Tirchia</t>
  </si>
  <si>
    <t>Ulteriur Africa</t>
  </si>
  <si>
    <t>Ulteriura Europa</t>
  </si>
  <si>
    <t>Ulteriur da l'Africa dal Nord</t>
  </si>
  <si>
    <t>Ulteriur pajais da l'Asia dal Sid e da l'Ost</t>
  </si>
  <si>
    <t>Ulteriur America dal Sid</t>
  </si>
  <si>
    <t>Ulteriur pajais da l'Asia dal Vest</t>
  </si>
  <si>
    <t>Ulteriur America Centrala, Caribica</t>
  </si>
  <si>
    <t>Ungaria</t>
  </si>
  <si>
    <t>Cipra</t>
  </si>
  <si>
    <t>&lt;T13Zeilentitel_6&gt;</t>
  </si>
  <si>
    <t>&lt;T13Zeilentitel_7&gt;</t>
  </si>
  <si>
    <t>&lt;T13Zeilentitel_8&gt;</t>
  </si>
  <si>
    <t>&lt;T13Zeilentitel_9&gt;</t>
  </si>
  <si>
    <t>&lt;T13Zeilentitel_10&gt;</t>
  </si>
  <si>
    <t>&lt;T13Zeilentitel_11&gt;</t>
  </si>
  <si>
    <t>&lt;T13Zeilentitel_12&gt;</t>
  </si>
  <si>
    <t>&lt;T13Zeilentitel_13&gt;</t>
  </si>
  <si>
    <t>&lt;T13Zeilentitel_14&gt;</t>
  </si>
  <si>
    <t>&lt;T13Zeilentitel_15&gt;</t>
  </si>
  <si>
    <t>&lt;T13Zeilentitel_16&gt;</t>
  </si>
  <si>
    <t>&lt;T13Zeilentitel_17&gt;</t>
  </si>
  <si>
    <t>&lt;T13Zeilentitel_18&gt;</t>
  </si>
  <si>
    <t>&lt;T13Zeilentitel_19&gt;</t>
  </si>
  <si>
    <t>&lt;T13Zeilentitel_21&gt;</t>
  </si>
  <si>
    <t>&lt;T13Zeilentitel_20&gt;</t>
  </si>
  <si>
    <t>&lt;T13Zeilentitel_22&gt;</t>
  </si>
  <si>
    <t>&lt;T13Zeilentitel_23&gt;</t>
  </si>
  <si>
    <t>&lt;T13Zeilentitel_24&gt;</t>
  </si>
  <si>
    <t>&lt;T13Zeilentitel_25&gt;</t>
  </si>
  <si>
    <t>&lt;T13Zeilentitel_26&gt;</t>
  </si>
  <si>
    <t>&lt;T13Zeilentitel_27&gt;</t>
  </si>
  <si>
    <t>&lt;T13Zeilentitel_28&gt;</t>
  </si>
  <si>
    <t>&lt;T13Zeilentitel_29&gt;</t>
  </si>
  <si>
    <t>&lt;T13Zeilentitel_30&gt;</t>
  </si>
  <si>
    <t>&lt;T13Zeilentitel_31&gt;</t>
  </si>
  <si>
    <t>&lt;T13Zeilentitel_32&gt;</t>
  </si>
  <si>
    <t>&lt;T13Zeilentitel_33&gt;</t>
  </si>
  <si>
    <t>&lt;T13Zeilentitel_34&gt;</t>
  </si>
  <si>
    <t>&lt;T13Zeilentitel_35&gt;</t>
  </si>
  <si>
    <t>&lt;T13Zeilentitel_36&gt;</t>
  </si>
  <si>
    <t>&lt;T13Zeilentitel_37&gt;</t>
  </si>
  <si>
    <t>&lt;T13Zeilentitel_38&gt;</t>
  </si>
  <si>
    <t>&lt;T13Zeilentitel_39&gt;</t>
  </si>
  <si>
    <t>&lt;T13Zeilentitel_40&gt;</t>
  </si>
  <si>
    <t>&lt;T13Zeilentitel_41&gt;</t>
  </si>
  <si>
    <t>&lt;T13Zeilentitel_42&gt;</t>
  </si>
  <si>
    <t>&lt;T13Zeilentitel_43&gt;</t>
  </si>
  <si>
    <t>&lt;T13Zeilentitel_44&gt;</t>
  </si>
  <si>
    <t>&lt;T13Zeilentitel_45&gt;</t>
  </si>
  <si>
    <t>&lt;T13Zeilentitel_46&gt;</t>
  </si>
  <si>
    <t>&lt;T13Zeilentitel_47&gt;</t>
  </si>
  <si>
    <t>&lt;T13Zeilentitel_48&gt;</t>
  </si>
  <si>
    <t>&lt;T13Zeilentitel_49&gt;</t>
  </si>
  <si>
    <t>&lt;T13Zeilentitel_50&gt;</t>
  </si>
  <si>
    <t>&lt;T13Zeilentitel_51&gt;</t>
  </si>
  <si>
    <t>&lt;T13Zeilentitel_52&gt;</t>
  </si>
  <si>
    <t>&lt;T13Zeilentitel_53&gt;</t>
  </si>
  <si>
    <t>&lt;T13Zeilentitel_54&gt;</t>
  </si>
  <si>
    <t>&lt;T13Zeilentitel_55&gt;</t>
  </si>
  <si>
    <t>&lt;T13Zeilentitel_56&gt;</t>
  </si>
  <si>
    <t>&lt;T13Zeilentitel_57&gt;</t>
  </si>
  <si>
    <t>&lt;T13Zeilentitel_58&gt;</t>
  </si>
  <si>
    <t>&lt;T13Zeilentitel_59&gt;</t>
  </si>
  <si>
    <t>&lt;T13Zeilentitel_60&gt;</t>
  </si>
  <si>
    <t>&lt;T13Zeilentitel_61&gt;</t>
  </si>
  <si>
    <t>&lt;T13Zeilentitel_62&gt;</t>
  </si>
  <si>
    <t>&lt;T13Zeilentitel_63&gt;</t>
  </si>
  <si>
    <t>&lt;T13Zeilentitel_64&gt;</t>
  </si>
  <si>
    <t>&lt;T13Zeilentitel_65&gt;</t>
  </si>
  <si>
    <t>&lt;T13Zeilentitel_66&gt;</t>
  </si>
  <si>
    <t>&lt;T13Zeilentitel_67&gt;</t>
  </si>
  <si>
    <t>&lt;T13Zeilentitel_68&gt;</t>
  </si>
  <si>
    <t>&lt;T13Zeilentitel_69&gt;</t>
  </si>
  <si>
    <t>&lt;T13Zeilentitel_70&gt;</t>
  </si>
  <si>
    <t>&lt;T13Zeilentitel_71&gt;</t>
  </si>
  <si>
    <t>&lt;T13Zeilentitel_72&gt;</t>
  </si>
  <si>
    <t>&lt;T13Zeilentitel_73&gt;</t>
  </si>
  <si>
    <t>Länder / Pajais / Paese</t>
  </si>
  <si>
    <t>&lt;T13Aktualisierung&gt;</t>
  </si>
  <si>
    <t>übriges West- und Nordeuropa</t>
  </si>
  <si>
    <t>Taiwan</t>
  </si>
  <si>
    <t>ulteriur pajais da l'Europa dal Vest e dal Nord</t>
  </si>
  <si>
    <t>altri paesi del Sud-Est asiatico e settentrionale</t>
  </si>
  <si>
    <r>
      <t>Daten des Juni 2025 erscheinen am</t>
    </r>
    <r>
      <rPr>
        <b/>
        <sz val="10"/>
        <rFont val="Arial"/>
        <family val="2"/>
      </rPr>
      <t xml:space="preserve"> 5. August 2025.</t>
    </r>
  </si>
  <si>
    <r>
      <t>Datas dal zercladur 2025 cumparan ils</t>
    </r>
    <r>
      <rPr>
        <b/>
        <sz val="10"/>
        <rFont val="Arial"/>
        <family val="2"/>
      </rPr>
      <t xml:space="preserve"> 5 da avust 2025.</t>
    </r>
  </si>
  <si>
    <r>
      <t>I dati del giugno 2025 saranno pubblicati il</t>
    </r>
    <r>
      <rPr>
        <b/>
        <sz val="10"/>
        <rFont val="Arial"/>
        <family val="2"/>
      </rPr>
      <t xml:space="preserve"> 5 agosto 2025.</t>
    </r>
  </si>
  <si>
    <r>
      <t xml:space="preserve">Daten des Juli 2025 erscheinen am </t>
    </r>
    <r>
      <rPr>
        <b/>
        <sz val="10"/>
        <rFont val="Arial"/>
        <family val="2"/>
      </rPr>
      <t>5. September 2025.</t>
    </r>
  </si>
  <si>
    <r>
      <t xml:space="preserve">Datas dal fanadur 2025 cumparan ils </t>
    </r>
    <r>
      <rPr>
        <b/>
        <sz val="10"/>
        <rFont val="Arial"/>
        <family val="2"/>
      </rPr>
      <t>5 da september 2025.</t>
    </r>
  </si>
  <si>
    <r>
      <t xml:space="preserve">I dati del luglio 2025 saranno pubblicati il </t>
    </r>
    <r>
      <rPr>
        <b/>
        <sz val="10"/>
        <rFont val="Arial"/>
        <family val="2"/>
      </rPr>
      <t>5 settembre 2025.</t>
    </r>
  </si>
  <si>
    <r>
      <t>Daten des September 2025 erscheinen am</t>
    </r>
    <r>
      <rPr>
        <b/>
        <sz val="10"/>
        <rFont val="Arial"/>
        <family val="2"/>
      </rPr>
      <t xml:space="preserve"> 4. November 2025.</t>
    </r>
  </si>
  <si>
    <r>
      <t>Datas dal september 2025 cumparan ils</t>
    </r>
    <r>
      <rPr>
        <b/>
        <sz val="10"/>
        <rFont val="Arial"/>
        <family val="2"/>
      </rPr>
      <t xml:space="preserve"> 4 da november 2025</t>
    </r>
    <r>
      <rPr>
        <sz val="10"/>
        <rFont val="Arial"/>
        <family val="2"/>
      </rPr>
      <t>.</t>
    </r>
  </si>
  <si>
    <r>
      <t xml:space="preserve">I dati del settembre 2025 saranno pubblicati il </t>
    </r>
    <r>
      <rPr>
        <b/>
        <sz val="10"/>
        <rFont val="Arial"/>
        <family val="2"/>
      </rPr>
      <t>3 novembre 2025.</t>
    </r>
  </si>
  <si>
    <r>
      <t>Datas dal fevrer 2025 cumparan ils</t>
    </r>
    <r>
      <rPr>
        <b/>
        <sz val="10"/>
        <rFont val="Arial"/>
        <family val="2"/>
      </rPr>
      <t xml:space="preserve"> 4 da avrigl 2025.</t>
    </r>
  </si>
  <si>
    <r>
      <t>I dati del febbraio 2025 saranno pubblicati il</t>
    </r>
    <r>
      <rPr>
        <b/>
        <sz val="10"/>
        <rFont val="Arial"/>
        <family val="2"/>
      </rPr>
      <t xml:space="preserve"> 4 aprile 2025.</t>
    </r>
  </si>
  <si>
    <r>
      <t>Daten des Februar 2025 erscheinen am</t>
    </r>
    <r>
      <rPr>
        <b/>
        <sz val="10"/>
        <rFont val="Arial"/>
        <family val="2"/>
      </rPr>
      <t xml:space="preserve"> 4. April 2025.</t>
    </r>
  </si>
  <si>
    <r>
      <t>Daten des März 2025 erscheinen am</t>
    </r>
    <r>
      <rPr>
        <b/>
        <sz val="10"/>
        <rFont val="Arial"/>
        <family val="2"/>
      </rPr>
      <t xml:space="preserve"> 7. Mai 2025.</t>
    </r>
  </si>
  <si>
    <r>
      <t>Datas dal mars 2025 cumparan ils</t>
    </r>
    <r>
      <rPr>
        <b/>
        <sz val="10"/>
        <rFont val="Arial"/>
        <family val="2"/>
      </rPr>
      <t xml:space="preserve"> 7 da matg 2025</t>
    </r>
    <r>
      <rPr>
        <sz val="10"/>
        <rFont val="Arial"/>
        <family val="2"/>
      </rPr>
      <t>.</t>
    </r>
  </si>
  <si>
    <r>
      <t>I dati del marzo 2025 saranno pubblicati il</t>
    </r>
    <r>
      <rPr>
        <b/>
        <sz val="10"/>
        <rFont val="Arial"/>
        <family val="2"/>
      </rPr>
      <t xml:space="preserve"> 7 maggio 2025</t>
    </r>
    <r>
      <rPr>
        <sz val="10"/>
        <rFont val="Arial"/>
        <family val="2"/>
      </rPr>
      <t>.</t>
    </r>
  </si>
  <si>
    <r>
      <t xml:space="preserve">Daten des April 2025 erscheinen am </t>
    </r>
    <r>
      <rPr>
        <b/>
        <sz val="10"/>
        <rFont val="Arial"/>
        <family val="2"/>
      </rPr>
      <t>5. Juni 2025.</t>
    </r>
  </si>
  <si>
    <r>
      <t>I dati del maggio 2025 saranno pubblicati il</t>
    </r>
    <r>
      <rPr>
        <b/>
        <sz val="10"/>
        <rFont val="Arial"/>
        <family val="2"/>
      </rPr>
      <t xml:space="preserve"> 5 giugno 2025.</t>
    </r>
  </si>
  <si>
    <r>
      <t>Datas dal matg 2025 cumparan ils</t>
    </r>
    <r>
      <rPr>
        <b/>
        <sz val="10"/>
        <rFont val="Arial"/>
        <family val="2"/>
      </rPr>
      <t xml:space="preserve"> 5 da zercladur 2025</t>
    </r>
    <r>
      <rPr>
        <sz val="10"/>
        <rFont val="Arial"/>
        <family val="2"/>
      </rPr>
      <t>.</t>
    </r>
  </si>
  <si>
    <r>
      <t>Daten des Mai 2025 erscheinen am 7</t>
    </r>
    <r>
      <rPr>
        <b/>
        <sz val="10"/>
        <rFont val="Arial"/>
        <family val="2"/>
      </rPr>
      <t>. Juli 2025.</t>
    </r>
  </si>
  <si>
    <r>
      <t>Datas dal matg 2025 cumparan ils 7</t>
    </r>
    <r>
      <rPr>
        <b/>
        <sz val="10"/>
        <rFont val="Arial"/>
        <family val="2"/>
      </rPr>
      <t xml:space="preserve"> da fanadur 2025</t>
    </r>
    <r>
      <rPr>
        <sz val="10"/>
        <rFont val="Arial"/>
        <family val="2"/>
      </rPr>
      <t>.</t>
    </r>
  </si>
  <si>
    <r>
      <t>I dati del maggio 2025 saranno pubblicati il 7</t>
    </r>
    <r>
      <rPr>
        <b/>
        <sz val="10"/>
        <rFont val="Arial"/>
        <family val="2"/>
      </rPr>
      <t xml:space="preserve"> luglio 2025.</t>
    </r>
  </si>
  <si>
    <r>
      <t>Daten des August 2025 erscheinen am</t>
    </r>
    <r>
      <rPr>
        <b/>
        <sz val="10"/>
        <rFont val="Arial"/>
        <family val="2"/>
      </rPr>
      <t xml:space="preserve"> 3. Oktober 2025.</t>
    </r>
  </si>
  <si>
    <r>
      <t>Datas dal avust 2025 cumparan ils</t>
    </r>
    <r>
      <rPr>
        <b/>
        <sz val="10"/>
        <rFont val="Arial"/>
        <family val="2"/>
      </rPr>
      <t xml:space="preserve"> 3 da october 2025</t>
    </r>
    <r>
      <rPr>
        <sz val="10"/>
        <rFont val="Arial"/>
        <family val="2"/>
      </rPr>
      <t>.</t>
    </r>
  </si>
  <si>
    <r>
      <t>I dati del agosto 2025 saranno pubblicati il 3</t>
    </r>
    <r>
      <rPr>
        <b/>
        <sz val="10"/>
        <rFont val="Arial"/>
        <family val="2"/>
      </rPr>
      <t xml:space="preserve"> ottobre 2025.</t>
    </r>
  </si>
  <si>
    <r>
      <t xml:space="preserve">Datas dal oktober 2025 cumparan ils </t>
    </r>
    <r>
      <rPr>
        <b/>
        <sz val="10"/>
        <rFont val="Arial"/>
        <family val="2"/>
      </rPr>
      <t>8 da dezember 2025.</t>
    </r>
  </si>
  <si>
    <r>
      <t xml:space="preserve">I dati del ottobre 2025 saranno pubblicati il </t>
    </r>
    <r>
      <rPr>
        <b/>
        <sz val="10"/>
        <rFont val="Arial"/>
        <family val="2"/>
      </rPr>
      <t>8 dicembre 2025.</t>
    </r>
  </si>
  <si>
    <r>
      <t xml:space="preserve">Daten des Oktober 2025 erscheinen am </t>
    </r>
    <r>
      <rPr>
        <b/>
        <sz val="10"/>
        <rFont val="Arial"/>
        <family val="2"/>
      </rPr>
      <t>8. Dezember 2025.</t>
    </r>
  </si>
  <si>
    <r>
      <t xml:space="preserve">Daten des November 2025 erscheinen am </t>
    </r>
    <r>
      <rPr>
        <b/>
        <sz val="10"/>
        <rFont val="Arial"/>
        <family val="2"/>
      </rPr>
      <t>15. Januar 2026.</t>
    </r>
  </si>
  <si>
    <r>
      <t xml:space="preserve">Datas dal november 2025 cumparan ils </t>
    </r>
    <r>
      <rPr>
        <b/>
        <sz val="10"/>
        <rFont val="Arial"/>
        <family val="2"/>
      </rPr>
      <t>15 da schaner 2026.</t>
    </r>
  </si>
  <si>
    <r>
      <t xml:space="preserve">I dati del novembere 2025 saranno pubblicati il </t>
    </r>
    <r>
      <rPr>
        <b/>
        <sz val="10"/>
        <rFont val="Arial"/>
        <family val="2"/>
      </rPr>
      <t>15 gennaio 2026.</t>
    </r>
  </si>
  <si>
    <t>Engadin Samnaun Val Müstair</t>
  </si>
  <si>
    <r>
      <t>Daten des Dezember 2025 erscheinen am</t>
    </r>
    <r>
      <rPr>
        <b/>
        <sz val="10"/>
        <rFont val="Arial"/>
        <family val="2"/>
      </rPr>
      <t xml:space="preserve"> 20. Februar 2026.</t>
    </r>
  </si>
  <si>
    <r>
      <t xml:space="preserve">Datas dal dezember 2025 cumparan ils </t>
    </r>
    <r>
      <rPr>
        <b/>
        <sz val="10"/>
        <rFont val="Arial"/>
        <family val="2"/>
      </rPr>
      <t>20 da fevrer 2026</t>
    </r>
    <r>
      <rPr>
        <sz val="10"/>
        <rFont val="Arial"/>
        <family val="2"/>
      </rPr>
      <t>.</t>
    </r>
  </si>
  <si>
    <r>
      <t xml:space="preserve">I dati del dicembre 2025 saranno pubblicati il </t>
    </r>
    <r>
      <rPr>
        <b/>
        <sz val="10"/>
        <rFont val="Arial"/>
        <family val="2"/>
      </rPr>
      <t>20 febbraio 2026.</t>
    </r>
  </si>
  <si>
    <r>
      <t xml:space="preserve">Daten des Januar 2026 erscheinen am </t>
    </r>
    <r>
      <rPr>
        <b/>
        <sz val="10"/>
        <rFont val="Arial"/>
        <family val="2"/>
      </rPr>
      <t>09. März 2026.</t>
    </r>
  </si>
  <si>
    <r>
      <t xml:space="preserve">Datas dal schaner 2026 cumparan ils </t>
    </r>
    <r>
      <rPr>
        <b/>
        <sz val="10"/>
        <rFont val="Arial"/>
        <family val="2"/>
      </rPr>
      <t>09 da marz 2026</t>
    </r>
    <r>
      <rPr>
        <sz val="10"/>
        <rFont val="Arial"/>
        <family val="2"/>
      </rPr>
      <t>.</t>
    </r>
  </si>
  <si>
    <r>
      <t xml:space="preserve">I dati del gennaio 2026 saranno pubblicati il </t>
    </r>
    <r>
      <rPr>
        <b/>
        <sz val="10"/>
        <rFont val="Arial"/>
        <family val="2"/>
      </rPr>
      <t>09 marzo 2026.</t>
    </r>
  </si>
  <si>
    <t>Letztmals aktualisiert am: 25.02.2026</t>
  </si>
  <si>
    <t>Ultima actualisaziun: 25.02.2026</t>
  </si>
  <si>
    <t>Ultimo aggiornamento: 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</si>
</sst>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\ ###\ ###\ ##0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name val="Helv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Segoe UI"/>
      <family val="2"/>
    </font>
    <font>
      <b/>
      <sz val="18"/>
      <name val="Arial"/>
      <family val="2"/>
    </font>
    <font>
      <b/>
      <u/>
      <sz val="10"/>
      <name val="Arial"/>
      <family val="2"/>
    </font>
    <font>
      <b/>
      <sz val="10"/>
      <color indexed="8"/>
      <name val="Arial Narrow"/>
      <family val="2"/>
    </font>
    <font>
      <b/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8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0" fontId="11" fillId="0" borderId="0"/>
    <xf numFmtId="0" fontId="12" fillId="0" borderId="0" applyNumberFormat="0" applyFill="0" applyBorder="0" applyAlignment="0" applyProtection="0"/>
    <xf numFmtId="0" fontId="14" fillId="0" borderId="0" applyNumberFormat="0" applyBorder="0" applyAlignment="0"/>
    <xf numFmtId="43" fontId="14" fillId="0" borderId="0" applyFont="0" applyFill="0" applyBorder="0" applyAlignment="0" applyProtection="0"/>
  </cellStyleXfs>
  <cellXfs count="137">
    <xf numFmtId="0" fontId="0" fillId="0" borderId="0" xfId="0"/>
    <xf numFmtId="0" fontId="6" fillId="2" borderId="0" xfId="1" applyFont="1" applyFill="1" applyBorder="1"/>
    <xf numFmtId="0" fontId="7" fillId="2" borderId="0" xfId="1" applyFont="1" applyFill="1" applyAlignment="1" applyProtection="1">
      <alignment horizontal="left"/>
      <protection locked="0"/>
    </xf>
    <xf numFmtId="0" fontId="3" fillId="2" borderId="0" xfId="1" applyFill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164" fontId="0" fillId="2" borderId="16" xfId="6" applyNumberFormat="1" applyFont="1" applyFill="1" applyBorder="1" applyAlignment="1">
      <alignment horizontal="right" vertical="center"/>
    </xf>
    <xf numFmtId="164" fontId="0" fillId="2" borderId="17" xfId="6" applyNumberFormat="1" applyFont="1" applyFill="1" applyBorder="1" applyAlignment="1">
      <alignment horizontal="right" vertical="center"/>
    </xf>
    <xf numFmtId="164" fontId="0" fillId="2" borderId="21" xfId="6" applyNumberFormat="1" applyFont="1" applyFill="1" applyBorder="1" applyAlignment="1">
      <alignment horizontal="right" vertical="center"/>
    </xf>
    <xf numFmtId="165" fontId="2" fillId="2" borderId="6" xfId="5" applyNumberFormat="1" applyFont="1" applyFill="1" applyBorder="1" applyAlignment="1">
      <alignment horizontal="right" vertical="center"/>
    </xf>
    <xf numFmtId="165" fontId="2" fillId="2" borderId="9" xfId="5" applyNumberFormat="1" applyFont="1" applyFill="1" applyBorder="1" applyAlignment="1">
      <alignment horizontal="right" vertical="center"/>
    </xf>
    <xf numFmtId="165" fontId="0" fillId="2" borderId="0" xfId="0" applyNumberFormat="1" applyFill="1"/>
    <xf numFmtId="166" fontId="0" fillId="2" borderId="0" xfId="0" applyNumberFormat="1" applyFill="1"/>
    <xf numFmtId="165" fontId="0" fillId="2" borderId="4" xfId="5" applyNumberFormat="1" applyFont="1" applyFill="1" applyBorder="1" applyAlignment="1">
      <alignment horizontal="right" vertical="center"/>
    </xf>
    <xf numFmtId="165" fontId="0" fillId="2" borderId="8" xfId="5" applyNumberFormat="1" applyFont="1" applyFill="1" applyBorder="1" applyAlignment="1">
      <alignment horizontal="right" vertical="center"/>
    </xf>
    <xf numFmtId="165" fontId="0" fillId="2" borderId="5" xfId="5" applyNumberFormat="1" applyFont="1" applyFill="1" applyBorder="1" applyAlignment="1">
      <alignment horizontal="right" vertical="center"/>
    </xf>
    <xf numFmtId="17" fontId="2" fillId="3" borderId="13" xfId="0" applyNumberFormat="1" applyFont="1" applyFill="1" applyBorder="1" applyAlignment="1">
      <alignment horizontal="right" vertical="center" wrapText="1"/>
    </xf>
    <xf numFmtId="17" fontId="0" fillId="3" borderId="14" xfId="0" applyNumberFormat="1" applyFill="1" applyBorder="1" applyAlignment="1">
      <alignment horizontal="right" vertical="center" wrapText="1"/>
    </xf>
    <xf numFmtId="0" fontId="0" fillId="3" borderId="15" xfId="0" applyNumberFormat="1" applyFill="1" applyBorder="1" applyAlignment="1">
      <alignment horizontal="right" vertical="center" wrapText="1"/>
    </xf>
    <xf numFmtId="0" fontId="0" fillId="3" borderId="18" xfId="0" applyNumberForma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/>
    </xf>
    <xf numFmtId="0" fontId="0" fillId="2" borderId="22" xfId="0" applyFill="1" applyBorder="1"/>
    <xf numFmtId="0" fontId="2" fillId="2" borderId="23" xfId="0" applyFont="1" applyFill="1" applyBorder="1" applyAlignment="1">
      <alignment vertical="center"/>
    </xf>
    <xf numFmtId="0" fontId="0" fillId="2" borderId="0" xfId="0" applyNumberFormat="1" applyFill="1"/>
    <xf numFmtId="0" fontId="0" fillId="2" borderId="0" xfId="0" applyNumberFormat="1" applyFill="1" applyBorder="1"/>
    <xf numFmtId="165" fontId="2" fillId="2" borderId="0" xfId="5" applyNumberFormat="1" applyFont="1" applyFill="1" applyBorder="1" applyAlignment="1">
      <alignment horizontal="right" vertical="center"/>
    </xf>
    <xf numFmtId="165" fontId="2" fillId="2" borderId="7" xfId="5" applyNumberFormat="1" applyFont="1" applyFill="1" applyBorder="1" applyAlignment="1">
      <alignment horizontal="right" vertical="center"/>
    </xf>
    <xf numFmtId="0" fontId="2" fillId="2" borderId="0" xfId="0" applyFont="1" applyFill="1"/>
    <xf numFmtId="165" fontId="2" fillId="2" borderId="24" xfId="5" applyNumberFormat="1" applyFont="1" applyFill="1" applyBorder="1" applyAlignment="1">
      <alignment horizontal="right" vertical="center"/>
    </xf>
    <xf numFmtId="164" fontId="0" fillId="2" borderId="4" xfId="6" applyNumberFormat="1" applyFont="1" applyFill="1" applyBorder="1" applyAlignment="1">
      <alignment horizontal="right" vertical="center"/>
    </xf>
    <xf numFmtId="0" fontId="13" fillId="2" borderId="0" xfId="3" applyFont="1" applyFill="1" applyBorder="1"/>
    <xf numFmtId="0" fontId="2" fillId="2" borderId="0" xfId="0" applyFont="1" applyFill="1" applyBorder="1"/>
    <xf numFmtId="165" fontId="1" fillId="2" borderId="0" xfId="5" applyNumberFormat="1" applyFont="1" applyFill="1" applyBorder="1" applyAlignment="1">
      <alignment horizontal="right" vertical="center"/>
    </xf>
    <xf numFmtId="164" fontId="1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horizontal="right" vertical="center"/>
    </xf>
    <xf numFmtId="0" fontId="2" fillId="2" borderId="3" xfId="0" applyFont="1" applyFill="1" applyBorder="1"/>
    <xf numFmtId="165" fontId="1" fillId="2" borderId="5" xfId="5" applyNumberFormat="1" applyFont="1" applyFill="1" applyBorder="1" applyAlignment="1">
      <alignment horizontal="right" vertical="center"/>
    </xf>
    <xf numFmtId="164" fontId="1" fillId="2" borderId="26" xfId="6" applyNumberFormat="1" applyFont="1" applyFill="1" applyBorder="1" applyAlignment="1">
      <alignment horizontal="right" vertical="center"/>
    </xf>
    <xf numFmtId="165" fontId="2" fillId="2" borderId="27" xfId="5" applyNumberFormat="1" applyFont="1" applyFill="1" applyBorder="1" applyAlignment="1">
      <alignment horizontal="right" vertical="center"/>
    </xf>
    <xf numFmtId="164" fontId="0" fillId="2" borderId="8" xfId="6" applyNumberFormat="1" applyFont="1" applyFill="1" applyBorder="1" applyAlignment="1">
      <alignment horizontal="right" vertical="center"/>
    </xf>
    <xf numFmtId="164" fontId="0" fillId="2" borderId="19" xfId="0" applyNumberFormat="1" applyFill="1" applyBorder="1" applyAlignment="1">
      <alignment horizontal="right" vertical="center"/>
    </xf>
    <xf numFmtId="164" fontId="0" fillId="2" borderId="25" xfId="0" applyNumberFormat="1" applyFont="1" applyFill="1" applyBorder="1" applyAlignment="1">
      <alignment horizontal="right" vertical="center"/>
    </xf>
    <xf numFmtId="164" fontId="0" fillId="2" borderId="28" xfId="0" applyNumberFormat="1" applyFill="1" applyBorder="1" applyAlignment="1">
      <alignment horizontal="right" vertical="center"/>
    </xf>
    <xf numFmtId="164" fontId="0" fillId="2" borderId="20" xfId="6" applyNumberFormat="1" applyFont="1" applyFill="1" applyBorder="1" applyAlignment="1">
      <alignment horizontal="right" vertical="center"/>
    </xf>
    <xf numFmtId="164" fontId="0" fillId="2" borderId="28" xfId="6" applyNumberFormat="1" applyFont="1" applyFill="1" applyBorder="1" applyAlignment="1">
      <alignment horizontal="right" vertical="center"/>
    </xf>
    <xf numFmtId="0" fontId="12" fillId="2" borderId="0" xfId="10" applyFill="1"/>
    <xf numFmtId="0" fontId="7" fillId="2" borderId="0" xfId="0" applyFont="1" applyFill="1"/>
    <xf numFmtId="165" fontId="2" fillId="2" borderId="6" xfId="5" applyNumberFormat="1" applyFont="1" applyFill="1" applyBorder="1" applyAlignment="1"/>
    <xf numFmtId="165" fontId="0" fillId="2" borderId="4" xfId="5" applyNumberFormat="1" applyFont="1" applyFill="1" applyBorder="1" applyAlignment="1"/>
    <xf numFmtId="164" fontId="0" fillId="2" borderId="16" xfId="6" applyNumberFormat="1" applyFont="1" applyFill="1" applyBorder="1" applyAlignment="1"/>
    <xf numFmtId="164" fontId="0" fillId="2" borderId="19" xfId="0" applyNumberFormat="1" applyFill="1" applyBorder="1" applyAlignment="1"/>
    <xf numFmtId="165" fontId="0" fillId="2" borderId="6" xfId="5" applyNumberFormat="1" applyFont="1" applyFill="1" applyBorder="1" applyAlignment="1"/>
    <xf numFmtId="165" fontId="2" fillId="2" borderId="9" xfId="5" applyNumberFormat="1" applyFont="1" applyFill="1" applyBorder="1" applyAlignment="1"/>
    <xf numFmtId="165" fontId="1" fillId="2" borderId="9" xfId="5" applyNumberFormat="1" applyFont="1" applyFill="1" applyBorder="1" applyAlignment="1"/>
    <xf numFmtId="164" fontId="0" fillId="2" borderId="28" xfId="0" applyNumberFormat="1" applyFill="1" applyBorder="1" applyAlignment="1">
      <alignment horizontal="right"/>
    </xf>
    <xf numFmtId="165" fontId="2" fillId="2" borderId="6" xfId="5" applyNumberFormat="1" applyFont="1" applyFill="1" applyBorder="1" applyAlignment="1">
      <alignment horizontal="right"/>
    </xf>
    <xf numFmtId="0" fontId="0" fillId="5" borderId="2" xfId="0" applyFill="1" applyBorder="1"/>
    <xf numFmtId="165" fontId="2" fillId="5" borderId="6" xfId="5" applyNumberFormat="1" applyFont="1" applyFill="1" applyBorder="1" applyAlignment="1">
      <alignment horizontal="right" vertical="center"/>
    </xf>
    <xf numFmtId="165" fontId="0" fillId="5" borderId="4" xfId="5" applyNumberFormat="1" applyFont="1" applyFill="1" applyBorder="1" applyAlignment="1">
      <alignment horizontal="right" vertical="center"/>
    </xf>
    <xf numFmtId="164" fontId="0" fillId="5" borderId="16" xfId="6" applyNumberFormat="1" applyFont="1" applyFill="1" applyBorder="1" applyAlignment="1">
      <alignment horizontal="right" vertical="center"/>
    </xf>
    <xf numFmtId="164" fontId="0" fillId="5" borderId="19" xfId="0" applyNumberFormat="1" applyFill="1" applyBorder="1" applyAlignment="1">
      <alignment horizontal="right" vertical="center"/>
    </xf>
    <xf numFmtId="164" fontId="1" fillId="2" borderId="21" xfId="6" applyNumberFormat="1" applyFont="1" applyFill="1" applyBorder="1" applyAlignment="1">
      <alignment horizontal="right" vertical="center"/>
    </xf>
    <xf numFmtId="164" fontId="1" fillId="2" borderId="20" xfId="6" applyNumberFormat="1" applyFont="1" applyFill="1" applyBorder="1" applyAlignment="1">
      <alignment horizontal="right" vertical="center"/>
    </xf>
    <xf numFmtId="0" fontId="12" fillId="0" borderId="0" xfId="10"/>
    <xf numFmtId="0" fontId="3" fillId="2" borderId="0" xfId="0" applyFont="1" applyFill="1"/>
    <xf numFmtId="0" fontId="5" fillId="2" borderId="0" xfId="0" applyFont="1" applyFill="1"/>
    <xf numFmtId="0" fontId="3" fillId="0" borderId="0" xfId="0" applyFont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center"/>
    </xf>
    <xf numFmtId="164" fontId="0" fillId="2" borderId="16" xfId="0" applyNumberFormat="1" applyFill="1" applyBorder="1" applyAlignment="1"/>
    <xf numFmtId="164" fontId="0" fillId="2" borderId="17" xfId="0" applyNumberFormat="1" applyFill="1" applyBorder="1" applyAlignment="1">
      <alignment horizontal="right"/>
    </xf>
    <xf numFmtId="164" fontId="0" fillId="2" borderId="29" xfId="6" applyNumberFormat="1" applyFont="1" applyFill="1" applyBorder="1" applyAlignment="1">
      <alignment horizontal="right" vertical="center"/>
    </xf>
    <xf numFmtId="0" fontId="0" fillId="3" borderId="11" xfId="0" applyNumberFormat="1" applyFill="1" applyBorder="1" applyAlignment="1">
      <alignment horizontal="right" vertical="center" wrapText="1"/>
    </xf>
    <xf numFmtId="165" fontId="2" fillId="2" borderId="30" xfId="5" applyNumberFormat="1" applyFont="1" applyFill="1" applyBorder="1" applyAlignment="1"/>
    <xf numFmtId="165" fontId="2" fillId="2" borderId="30" xfId="5" applyNumberFormat="1" applyFont="1" applyFill="1" applyBorder="1" applyAlignment="1">
      <alignment horizontal="right"/>
    </xf>
    <xf numFmtId="165" fontId="2" fillId="2" borderId="31" xfId="5" applyNumberFormat="1" applyFont="1" applyFill="1" applyBorder="1" applyAlignment="1"/>
    <xf numFmtId="165" fontId="2" fillId="2" borderId="32" xfId="5" applyNumberFormat="1" applyFont="1" applyFill="1" applyBorder="1" applyAlignment="1">
      <alignment horizontal="right" vertical="center"/>
    </xf>
    <xf numFmtId="164" fontId="0" fillId="2" borderId="16" xfId="0" applyNumberFormat="1" applyFill="1" applyBorder="1" applyAlignment="1">
      <alignment horizontal="right" vertical="center"/>
    </xf>
    <xf numFmtId="164" fontId="0" fillId="2" borderId="17" xfId="0" applyNumberFormat="1" applyFill="1" applyBorder="1" applyAlignment="1">
      <alignment horizontal="right" vertical="center"/>
    </xf>
    <xf numFmtId="164" fontId="1" fillId="2" borderId="29" xfId="6" applyNumberFormat="1" applyFont="1" applyFill="1" applyBorder="1" applyAlignment="1">
      <alignment horizontal="right" vertical="center"/>
    </xf>
    <xf numFmtId="165" fontId="2" fillId="2" borderId="30" xfId="5" applyNumberFormat="1" applyFont="1" applyFill="1" applyBorder="1" applyAlignment="1">
      <alignment horizontal="right" vertical="center"/>
    </xf>
    <xf numFmtId="165" fontId="2" fillId="2" borderId="31" xfId="5" applyNumberFormat="1" applyFont="1" applyFill="1" applyBorder="1" applyAlignment="1">
      <alignment horizontal="right" vertical="center"/>
    </xf>
    <xf numFmtId="164" fontId="0" fillId="5" borderId="16" xfId="0" applyNumberFormat="1" applyFill="1" applyBorder="1" applyAlignment="1">
      <alignment horizontal="right" vertical="center"/>
    </xf>
    <xf numFmtId="164" fontId="0" fillId="2" borderId="26" xfId="0" applyNumberFormat="1" applyFont="1" applyFill="1" applyBorder="1" applyAlignment="1">
      <alignment horizontal="right" vertical="center"/>
    </xf>
    <xf numFmtId="165" fontId="2" fillId="5" borderId="30" xfId="5" applyNumberFormat="1" applyFont="1" applyFill="1" applyBorder="1" applyAlignment="1">
      <alignment horizontal="right" vertical="center"/>
    </xf>
    <xf numFmtId="0" fontId="3" fillId="9" borderId="0" xfId="0" applyFont="1" applyFill="1" applyBorder="1" applyAlignment="1">
      <alignment horizontal="left" vertical="top" wrapText="1"/>
    </xf>
    <xf numFmtId="0" fontId="13" fillId="7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>
      <alignment horizontal="left" vertical="top" wrapText="1"/>
    </xf>
    <xf numFmtId="0" fontId="13" fillId="6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 applyProtection="1">
      <alignment horizontal="left" vertical="top" wrapText="1"/>
      <protection locked="0"/>
    </xf>
    <xf numFmtId="0" fontId="3" fillId="8" borderId="0" xfId="0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wrapText="1"/>
    </xf>
    <xf numFmtId="0" fontId="5" fillId="2" borderId="0" xfId="1" applyFont="1" applyFill="1" applyBorder="1" applyAlignment="1">
      <alignment horizontal="left" vertical="top" wrapText="1"/>
    </xf>
    <xf numFmtId="0" fontId="0" fillId="2" borderId="0" xfId="0" applyFill="1" applyBorder="1"/>
    <xf numFmtId="0" fontId="0" fillId="2" borderId="0" xfId="0" applyNumberFormat="1" applyFill="1" applyBorder="1" applyAlignment="1">
      <alignment horizontal="right" vertical="center" wrapText="1"/>
    </xf>
    <xf numFmtId="165" fontId="0" fillId="2" borderId="0" xfId="5" applyNumberFormat="1" applyFont="1" applyFill="1" applyBorder="1" applyAlignment="1">
      <alignment horizontal="right" vertical="center"/>
    </xf>
    <xf numFmtId="164" fontId="0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ill="1" applyBorder="1" applyAlignment="1">
      <alignment horizontal="right" vertical="center"/>
    </xf>
    <xf numFmtId="165" fontId="2" fillId="2" borderId="0" xfId="5" applyNumberFormat="1" applyFont="1" applyFill="1" applyBorder="1" applyAlignment="1"/>
    <xf numFmtId="165" fontId="0" fillId="2" borderId="0" xfId="5" applyNumberFormat="1" applyFont="1" applyFill="1" applyBorder="1" applyAlignment="1"/>
    <xf numFmtId="164" fontId="0" fillId="2" borderId="0" xfId="6" applyNumberFormat="1" applyFont="1" applyFill="1" applyBorder="1" applyAlignment="1"/>
    <xf numFmtId="164" fontId="0" fillId="2" borderId="0" xfId="0" applyNumberFormat="1" applyFill="1" applyBorder="1" applyAlignment="1"/>
    <xf numFmtId="0" fontId="3" fillId="7" borderId="34" xfId="0" applyFont="1" applyFill="1" applyBorder="1" applyAlignment="1">
      <alignment horizontal="left" vertical="top" wrapText="1"/>
    </xf>
    <xf numFmtId="0" fontId="0" fillId="5" borderId="1" xfId="0" applyFill="1" applyBorder="1"/>
    <xf numFmtId="0" fontId="13" fillId="10" borderId="0" xfId="0" applyFont="1" applyFill="1" applyBorder="1" applyAlignment="1">
      <alignment horizontal="left" vertical="top" wrapText="1"/>
    </xf>
    <xf numFmtId="0" fontId="13" fillId="10" borderId="0" xfId="0" applyFont="1" applyFill="1" applyBorder="1" applyAlignment="1" applyProtection="1">
      <alignment horizontal="left" vertical="top" wrapText="1"/>
      <protection locked="0"/>
    </xf>
    <xf numFmtId="0" fontId="3" fillId="10" borderId="0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right" vertical="top" wrapText="1"/>
    </xf>
    <xf numFmtId="0" fontId="16" fillId="10" borderId="33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11" borderId="0" xfId="0" applyFont="1" applyFill="1" applyBorder="1" applyAlignment="1">
      <alignment horizontal="left" vertical="top" wrapText="1"/>
    </xf>
    <xf numFmtId="0" fontId="17" fillId="11" borderId="0" xfId="0" applyFont="1" applyFill="1" applyBorder="1" applyAlignment="1">
      <alignment horizontal="left" vertical="top" wrapText="1"/>
    </xf>
    <xf numFmtId="0" fontId="9" fillId="8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left" vertical="top"/>
    </xf>
    <xf numFmtId="165" fontId="18" fillId="8" borderId="0" xfId="5" applyNumberFormat="1" applyFont="1" applyFill="1" applyBorder="1" applyAlignment="1" applyProtection="1">
      <alignment horizontal="left" vertical="top"/>
    </xf>
    <xf numFmtId="0" fontId="1" fillId="2" borderId="0" xfId="0" applyFont="1" applyFill="1"/>
    <xf numFmtId="0" fontId="5" fillId="2" borderId="0" xfId="1" applyFont="1" applyFill="1" applyBorder="1" applyAlignment="1">
      <alignment horizontal="left" vertical="top" wrapText="1"/>
    </xf>
    <xf numFmtId="165" fontId="2" fillId="2" borderId="35" xfId="5" applyNumberFormat="1" applyFont="1" applyFill="1" applyBorder="1" applyAlignment="1">
      <alignment horizontal="right" vertical="center"/>
    </xf>
    <xf numFmtId="165" fontId="0" fillId="2" borderId="21" xfId="5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left" vertical="center"/>
    </xf>
    <xf numFmtId="0" fontId="9" fillId="4" borderId="38" xfId="0" applyFont="1" applyFill="1" applyBorder="1" applyAlignment="1">
      <alignment horizontal="left" vertical="center"/>
    </xf>
    <xf numFmtId="17" fontId="0" fillId="2" borderId="0" xfId="0" applyNumberFormat="1" applyFill="1" applyBorder="1" applyAlignment="1">
      <alignment horizontal="right" vertical="center" wrapText="1"/>
    </xf>
    <xf numFmtId="17" fontId="2" fillId="3" borderId="36" xfId="0" applyNumberFormat="1" applyFont="1" applyFill="1" applyBorder="1" applyAlignment="1">
      <alignment horizontal="left" vertical="center" wrapText="1"/>
    </xf>
    <xf numFmtId="165" fontId="1" fillId="2" borderId="37" xfId="5" applyNumberFormat="1" applyFont="1" applyFill="1" applyBorder="1" applyAlignment="1">
      <alignment horizontal="left" vertical="center"/>
    </xf>
    <xf numFmtId="17" fontId="2" fillId="3" borderId="11" xfId="0" applyNumberFormat="1" applyFont="1" applyFill="1" applyBorder="1" applyAlignment="1">
      <alignment horizontal="left" vertical="center" wrapText="1"/>
    </xf>
    <xf numFmtId="165" fontId="1" fillId="2" borderId="39" xfId="5" applyNumberFormat="1" applyFont="1" applyFill="1" applyBorder="1" applyAlignment="1">
      <alignment horizontal="left" vertical="center"/>
    </xf>
    <xf numFmtId="165" fontId="1" fillId="2" borderId="0" xfId="5" applyNumberFormat="1" applyFont="1" applyFill="1" applyBorder="1" applyAlignment="1">
      <alignment horizontal="left" vertical="center"/>
    </xf>
    <xf numFmtId="165" fontId="0" fillId="2" borderId="17" xfId="5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0" fillId="2" borderId="19" xfId="6" applyNumberFormat="1" applyFont="1" applyFill="1" applyBorder="1" applyAlignment="1">
      <alignment horizontal="right" vertical="center"/>
    </xf>
    <xf numFmtId="164" fontId="0" fillId="5" borderId="19" xfId="6" applyNumberFormat="1" applyFont="1" applyFill="1" applyBorder="1" applyAlignment="1">
      <alignment horizontal="right" vertical="center"/>
    </xf>
    <xf numFmtId="164" fontId="0" fillId="2" borderId="25" xfId="6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top" wrapText="1"/>
    </xf>
  </cellXfs>
  <cellStyles count="13">
    <cellStyle name="Komma" xfId="5" builtinId="3"/>
    <cellStyle name="Komma 2" xfId="12" xr:uid="{00000000-0005-0000-0000-000001000000}"/>
    <cellStyle name="Link" xfId="10" builtinId="8"/>
    <cellStyle name="Prozent" xfId="6" builtinId="5"/>
    <cellStyle name="Prozent 2" xfId="7" xr:uid="{00000000-0005-0000-0000-000004000000}"/>
    <cellStyle name="Standard" xfId="0" builtinId="0"/>
    <cellStyle name="Standard 2" xfId="2" xr:uid="{00000000-0005-0000-0000-000006000000}"/>
    <cellStyle name="Standard 2 2" xfId="4" xr:uid="{00000000-0005-0000-0000-000007000000}"/>
    <cellStyle name="Standard 2 3" xfId="8" xr:uid="{00000000-0005-0000-0000-000008000000}"/>
    <cellStyle name="Standard 3" xfId="1" xr:uid="{00000000-0005-0000-0000-000009000000}"/>
    <cellStyle name="Standard 3 2" xfId="9" xr:uid="{00000000-0005-0000-0000-00000A000000}"/>
    <cellStyle name="Standard 4" xfId="3" xr:uid="{00000000-0005-0000-0000-00000B000000}"/>
    <cellStyle name="Standard 5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000-0000013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000-0000023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000-0000033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900-0000011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900-0000021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900-0000031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A00-0000011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A00-0000021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Option Button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A00-0000031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34925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466725</xdr:colOff>
      <xdr:row>0</xdr:row>
      <xdr:rowOff>19050</xdr:rowOff>
    </xdr:from>
    <xdr:to>
      <xdr:col>8</xdr:col>
      <xdr:colOff>410189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00675" y="19050"/>
          <a:ext cx="24485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B00-0000010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B00-0000020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ption Button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B00-0000030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2663825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2</xdr:col>
      <xdr:colOff>2686050</xdr:colOff>
      <xdr:row>0</xdr:row>
      <xdr:rowOff>19050</xdr:rowOff>
    </xdr:from>
    <xdr:to>
      <xdr:col>5</xdr:col>
      <xdr:colOff>600689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485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3" name="Option Button 1" hidden="1">
                <a:extLst>
                  <a:ext uri="{63B3BB69-23CF-44E3-9099-C40C66FF867C}">
                    <a14:compatExt spid="_x0000_s28673"/>
                  </a:ext>
                  <a:ext uri="{FF2B5EF4-FFF2-40B4-BE49-F238E27FC236}">
                    <a16:creationId xmlns:a16="http://schemas.microsoft.com/office/drawing/2014/main" id="{00000000-0008-0000-0C00-0000017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4" name="Option Button 2" hidden="1">
                <a:extLst>
                  <a:ext uri="{63B3BB69-23CF-44E3-9099-C40C66FF867C}">
                    <a14:compatExt spid="_x0000_s28674"/>
                  </a:ext>
                  <a:ext uri="{FF2B5EF4-FFF2-40B4-BE49-F238E27FC236}">
                    <a16:creationId xmlns:a16="http://schemas.microsoft.com/office/drawing/2014/main" id="{00000000-0008-0000-0C00-0000027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5" name="Option Button 3" hidden="1">
                <a:extLst>
                  <a:ext uri="{63B3BB69-23CF-44E3-9099-C40C66FF867C}">
                    <a14:compatExt spid="_x0000_s28675"/>
                  </a:ext>
                  <a:ext uri="{FF2B5EF4-FFF2-40B4-BE49-F238E27FC236}">
                    <a16:creationId xmlns:a16="http://schemas.microsoft.com/office/drawing/2014/main" id="{00000000-0008-0000-0C00-0000037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7" name="Option Button 1" hidden="1">
                <a:extLst>
                  <a:ext uri="{63B3BB69-23CF-44E3-9099-C40C66FF867C}">
                    <a14:compatExt spid="_x0000_s14337"/>
                  </a:ext>
                  <a:ext uri="{FF2B5EF4-FFF2-40B4-BE49-F238E27FC236}">
                    <a16:creationId xmlns:a16="http://schemas.microsoft.com/office/drawing/2014/main" id="{00000000-0008-0000-0100-0000013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8" name="Option Button 2" hidden="1">
                <a:extLst>
                  <a:ext uri="{63B3BB69-23CF-44E3-9099-C40C66FF867C}">
                    <a14:compatExt spid="_x0000_s14338"/>
                  </a:ext>
                  <a:ext uri="{FF2B5EF4-FFF2-40B4-BE49-F238E27FC236}">
                    <a16:creationId xmlns:a16="http://schemas.microsoft.com/office/drawing/2014/main" id="{00000000-0008-0000-0100-0000023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9" name="Option Button 3" hidden="1">
                <a:extLst>
                  <a:ext uri="{63B3BB69-23CF-44E3-9099-C40C66FF867C}">
                    <a14:compatExt spid="_x0000_s14339"/>
                  </a:ext>
                  <a:ext uri="{FF2B5EF4-FFF2-40B4-BE49-F238E27FC236}">
                    <a16:creationId xmlns:a16="http://schemas.microsoft.com/office/drawing/2014/main" id="{00000000-0008-0000-0100-0000033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3" name="Option Button 1" hidden="1">
                <a:extLst>
                  <a:ext uri="{63B3BB69-23CF-44E3-9099-C40C66FF867C}">
                    <a14:compatExt spid="_x0000_s13313"/>
                  </a:ext>
                  <a:ext uri="{FF2B5EF4-FFF2-40B4-BE49-F238E27FC236}">
                    <a16:creationId xmlns:a16="http://schemas.microsoft.com/office/drawing/2014/main" id="{00000000-0008-0000-0200-0000013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4" name="Option Button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200-0000023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5" name="Option Button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200-0000033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89" name="Option Button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300-0000013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0" name="Option Button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300-0000023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1" name="Option Button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300-0000033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5" name="Option Button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400-0000012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Option Button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400-0000022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7" name="Option Button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400-0000032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1" name="Option Button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500-0000012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2" name="Option Button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500-0000022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3" name="Option Button 3" hidden="1">
                <a:extLst>
                  <a:ext uri="{63B3BB69-23CF-44E3-9099-C40C66FF867C}">
                    <a14:compatExt spid="_x0000_s10243"/>
                  </a:ext>
                  <a:ext uri="{FF2B5EF4-FFF2-40B4-BE49-F238E27FC236}">
                    <a16:creationId xmlns:a16="http://schemas.microsoft.com/office/drawing/2014/main" id="{00000000-0008-0000-0500-0000032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600-0000012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600-0000022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600-0000032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3" name="Option Button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700-0000012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4" name="Option Button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700-0000022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5" name="Option Button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700-0000032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800-0000011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800-0000021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800-0000031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3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36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24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2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/>
  <dimension ref="A1:J103"/>
  <sheetViews>
    <sheetView tabSelected="1"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VLOOKUP("&lt;T12Titel1&gt;",Uebersetzungen!$B$4:$E$315,Uebersetzungen!$B$2+1,FALSE)</f>
        <v>Hotel- und Kurbetriebe: Logiernächte im Dezember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VLOOKUP("&lt;T12SpaltenTitel_1&gt;",Uebersetzungen!$B$4:$E$315,Uebersetzungen!$B$2+1,FALSE)</f>
        <v>Dezember 2025</v>
      </c>
      <c r="D12" s="21" t="str">
        <f>VLOOKUP("&lt;T12SpaltenTitel_2&gt;",Uebersetzungen!$B$4:$E$315,Uebersetzungen!$B$2+1,FALSE)</f>
        <v>Dezember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VLOOKUP("&lt;T12SpaltenTitel_5&gt;",Uebersetzungen!$B$4:$E$315,Uebersetzungen!$B$2+1,FALSE)</f>
        <v>Januar-Dezember 25</v>
      </c>
      <c r="H12" s="22" t="str">
        <f>VLOOKUP("&lt;T12SpaltenTitel_6&gt;",Uebersetzungen!$B$4:$E$315,Uebersetzungen!$B$2+1,FALSE)</f>
        <v>Januar-Dezember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56594</v>
      </c>
      <c r="D13" s="52">
        <v>56711</v>
      </c>
      <c r="E13" s="53">
        <f t="shared" ref="E13:E31" si="0">C13/D13-1</f>
        <v>-2.063091816402407E-3</v>
      </c>
      <c r="F13" s="72">
        <v>0.18008407426560136</v>
      </c>
      <c r="G13" s="76">
        <v>418711</v>
      </c>
      <c r="H13" s="52">
        <v>430599</v>
      </c>
      <c r="I13" s="53">
        <f t="shared" ref="I13:I31" si="1">G13/H13-1</f>
        <v>-2.760805296807467E-2</v>
      </c>
      <c r="J13" s="54">
        <v>6.481168307032048E-2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4917</v>
      </c>
      <c r="D14" s="52">
        <v>4533</v>
      </c>
      <c r="E14" s="53">
        <f>C14/D14-1</f>
        <v>8.4712111184645833E-2</v>
      </c>
      <c r="F14" s="72">
        <v>6.5438786565547025E-2</v>
      </c>
      <c r="G14" s="76">
        <v>62986</v>
      </c>
      <c r="H14" s="52">
        <v>58240</v>
      </c>
      <c r="I14" s="53">
        <f t="shared" si="1"/>
        <v>8.1490384615384714E-2</v>
      </c>
      <c r="J14" s="54">
        <v>2.6335428826556262E-2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4343</v>
      </c>
      <c r="D15" s="52">
        <v>3660</v>
      </c>
      <c r="E15" s="53">
        <f t="shared" si="0"/>
        <v>0.18661202185792347</v>
      </c>
      <c r="F15" s="72">
        <v>0.13971553036267248</v>
      </c>
      <c r="G15" s="76">
        <v>55546</v>
      </c>
      <c r="H15" s="52">
        <v>54029</v>
      </c>
      <c r="I15" s="53">
        <f t="shared" si="1"/>
        <v>2.8077513927705411E-2</v>
      </c>
      <c r="J15" s="54">
        <v>-1.3809437573459205E-2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3712</v>
      </c>
      <c r="D16" s="52">
        <v>3827</v>
      </c>
      <c r="E16" s="53">
        <f t="shared" si="0"/>
        <v>-3.0049647243271527E-2</v>
      </c>
      <c r="F16" s="72">
        <v>0.32647226986849631</v>
      </c>
      <c r="G16" s="76">
        <v>56801</v>
      </c>
      <c r="H16" s="52">
        <v>58590</v>
      </c>
      <c r="I16" s="53">
        <f t="shared" si="1"/>
        <v>-3.0534220856801464E-2</v>
      </c>
      <c r="J16" s="54">
        <v>0.15271125903076554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22752</v>
      </c>
      <c r="D17" s="52">
        <v>19406</v>
      </c>
      <c r="E17" s="53">
        <f t="shared" si="0"/>
        <v>0.17242090075234473</v>
      </c>
      <c r="F17" s="72">
        <v>0.58435698169967409</v>
      </c>
      <c r="G17" s="76">
        <v>265409</v>
      </c>
      <c r="H17" s="52">
        <v>247362</v>
      </c>
      <c r="I17" s="53">
        <f t="shared" si="1"/>
        <v>7.2957851246351568E-2</v>
      </c>
      <c r="J17" s="54">
        <v>0.39453491158086784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128867</v>
      </c>
      <c r="D18" s="52">
        <v>120577</v>
      </c>
      <c r="E18" s="53">
        <f t="shared" si="0"/>
        <v>6.8752747207178722E-2</v>
      </c>
      <c r="F18" s="72">
        <v>0.25126955305906451</v>
      </c>
      <c r="G18" s="76">
        <v>983052</v>
      </c>
      <c r="H18" s="52">
        <v>974540</v>
      </c>
      <c r="I18" s="53">
        <f t="shared" si="1"/>
        <v>8.7343772446486501E-3</v>
      </c>
      <c r="J18" s="54">
        <v>8.0429132983349971E-2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9990</v>
      </c>
      <c r="D19" s="52">
        <v>10344</v>
      </c>
      <c r="E19" s="53">
        <f t="shared" si="0"/>
        <v>-3.4222737819025517E-2</v>
      </c>
      <c r="F19" s="72">
        <v>1.7021623162438493E-2</v>
      </c>
      <c r="G19" s="76">
        <v>132837</v>
      </c>
      <c r="H19" s="52">
        <v>132346</v>
      </c>
      <c r="I19" s="53">
        <f t="shared" si="1"/>
        <v>3.7099723452163058E-3</v>
      </c>
      <c r="J19" s="54">
        <v>-7.0444328499006392E-3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49102</v>
      </c>
      <c r="D20" s="52">
        <v>44193</v>
      </c>
      <c r="E20" s="53">
        <f t="shared" si="0"/>
        <v>0.11108094042042849</v>
      </c>
      <c r="F20" s="72">
        <v>0.17010933285037511</v>
      </c>
      <c r="G20" s="76">
        <v>559945</v>
      </c>
      <c r="H20" s="52">
        <v>545594</v>
      </c>
      <c r="I20" s="53">
        <f t="shared" si="1"/>
        <v>2.630344175339161E-2</v>
      </c>
      <c r="J20" s="54">
        <v>1.7925242771748229E-2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195029</v>
      </c>
      <c r="D21" s="52">
        <v>176345</v>
      </c>
      <c r="E21" s="53">
        <f t="shared" si="0"/>
        <v>0.10595140208114784</v>
      </c>
      <c r="F21" s="72">
        <v>0.20825331136084846</v>
      </c>
      <c r="G21" s="76">
        <v>1766297</v>
      </c>
      <c r="H21" s="52">
        <v>1694400</v>
      </c>
      <c r="I21" s="53">
        <f t="shared" si="1"/>
        <v>4.2432129367327764E-2</v>
      </c>
      <c r="J21" s="54">
        <v>0.10780365995418761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49538</v>
      </c>
      <c r="D22" s="52">
        <v>46489</v>
      </c>
      <c r="E22" s="53">
        <f t="shared" si="0"/>
        <v>6.5585407300651877E-2</v>
      </c>
      <c r="F22" s="72">
        <v>0.12712909493840807</v>
      </c>
      <c r="G22" s="76">
        <v>485155</v>
      </c>
      <c r="H22" s="52">
        <v>468714</v>
      </c>
      <c r="I22" s="53">
        <f t="shared" si="1"/>
        <v>3.5076827233664787E-2</v>
      </c>
      <c r="J22" s="54">
        <v>-3.2027073832937791E-2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37417</v>
      </c>
      <c r="D23" s="52">
        <v>35317</v>
      </c>
      <c r="E23" s="53">
        <f t="shared" si="0"/>
        <v>5.9461449160461033E-2</v>
      </c>
      <c r="F23" s="72">
        <v>8.9635691196598533E-2</v>
      </c>
      <c r="G23" s="76">
        <v>328201</v>
      </c>
      <c r="H23" s="52">
        <v>332720</v>
      </c>
      <c r="I23" s="53">
        <f t="shared" si="1"/>
        <v>-1.3581990863188231E-2</v>
      </c>
      <c r="J23" s="54">
        <v>-1.6521902248208375E-2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6480</v>
      </c>
      <c r="D24" s="52">
        <v>5855</v>
      </c>
      <c r="E24" s="53">
        <f t="shared" si="0"/>
        <v>0.10674637062339887</v>
      </c>
      <c r="F24" s="72">
        <v>0.32477409330661988</v>
      </c>
      <c r="G24" s="76">
        <v>85643</v>
      </c>
      <c r="H24" s="52">
        <v>79816</v>
      </c>
      <c r="I24" s="53">
        <f t="shared" si="1"/>
        <v>7.3005412448631901E-2</v>
      </c>
      <c r="J24" s="54">
        <v>0.17741758090681614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3331</v>
      </c>
      <c r="D25" s="52">
        <v>3110</v>
      </c>
      <c r="E25" s="53">
        <f t="shared" si="0"/>
        <v>7.1061093247588358E-2</v>
      </c>
      <c r="F25" s="72">
        <v>0.60514649190439496</v>
      </c>
      <c r="G25" s="76">
        <v>34179</v>
      </c>
      <c r="H25" s="52">
        <v>25980</v>
      </c>
      <c r="I25" s="53">
        <f t="shared" si="1"/>
        <v>0.31558891454965354</v>
      </c>
      <c r="J25" s="54">
        <v>0.39842886952252354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7758</v>
      </c>
      <c r="D26" s="52">
        <v>7124</v>
      </c>
      <c r="E26" s="53">
        <f t="shared" si="0"/>
        <v>8.8994946659180174E-2</v>
      </c>
      <c r="F26" s="72">
        <v>0.30746932722124831</v>
      </c>
      <c r="G26" s="76">
        <v>99366</v>
      </c>
      <c r="H26" s="52">
        <v>93142</v>
      </c>
      <c r="I26" s="53">
        <f t="shared" si="1"/>
        <v>6.6822700822400272E-2</v>
      </c>
      <c r="J26" s="54">
        <v>0.28424976219033038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8596</v>
      </c>
      <c r="D27" s="52">
        <v>8670</v>
      </c>
      <c r="E27" s="53">
        <f t="shared" si="0"/>
        <v>-8.535178777393293E-3</v>
      </c>
      <c r="F27" s="72">
        <v>0.13775942397289298</v>
      </c>
      <c r="G27" s="77">
        <v>108694</v>
      </c>
      <c r="H27" s="52">
        <v>100161</v>
      </c>
      <c r="I27" s="53">
        <f t="shared" si="1"/>
        <v>8.5192839528359432E-2</v>
      </c>
      <c r="J27" s="54">
        <v>3.5358442399649359E-2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4664</v>
      </c>
      <c r="D28" s="52">
        <v>3982</v>
      </c>
      <c r="E28" s="53">
        <f t="shared" si="0"/>
        <v>0.17127071823204409</v>
      </c>
      <c r="F28" s="72">
        <v>0.50616805528644315</v>
      </c>
      <c r="G28" s="76">
        <v>79810</v>
      </c>
      <c r="H28" s="52">
        <v>73560</v>
      </c>
      <c r="I28" s="53">
        <f t="shared" si="1"/>
        <v>8.4964654703643339E-2</v>
      </c>
      <c r="J28" s="54">
        <v>9.5523740236922006E-2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6146</v>
      </c>
      <c r="D29" s="55">
        <v>5911</v>
      </c>
      <c r="E29" s="53">
        <f t="shared" si="0"/>
        <v>3.975638639824064E-2</v>
      </c>
      <c r="F29" s="72">
        <v>-9.827166290090672E-2</v>
      </c>
      <c r="G29" s="77">
        <v>64148</v>
      </c>
      <c r="H29" s="55">
        <v>65426</v>
      </c>
      <c r="I29" s="53">
        <f t="shared" si="1"/>
        <v>-1.9533518784581094E-2</v>
      </c>
      <c r="J29" s="54">
        <v>-0.11913171005003875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5981</v>
      </c>
      <c r="D30" s="57">
        <v>5297</v>
      </c>
      <c r="E30" s="53">
        <f t="shared" si="0"/>
        <v>0.12912969605437041</v>
      </c>
      <c r="F30" s="73">
        <v>0.20989602298013521</v>
      </c>
      <c r="G30" s="78">
        <v>93159</v>
      </c>
      <c r="H30" s="57">
        <v>91819</v>
      </c>
      <c r="I30" s="53">
        <f t="shared" si="1"/>
        <v>1.4593929361025548E-2</v>
      </c>
      <c r="J30" s="58">
        <v>3.7846834622300429E-2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605217</v>
      </c>
      <c r="D31" s="19">
        <v>561351</v>
      </c>
      <c r="E31" s="12">
        <f t="shared" si="0"/>
        <v>7.8143621370586391E-2</v>
      </c>
      <c r="F31" s="74">
        <v>0.20242058823178799</v>
      </c>
      <c r="G31" s="79">
        <v>5679939</v>
      </c>
      <c r="H31" s="19">
        <v>5527038</v>
      </c>
      <c r="I31" s="12">
        <f t="shared" si="1"/>
        <v>2.7664184686264193E-2</v>
      </c>
      <c r="J31" s="47">
        <v>7.4005442316306791E-2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VLOOKUP("&lt;T12Titel2&gt;",Uebersetzungen!$B$4:$E$315,Uebersetzungen!$B$2+1,FALSE)</f>
        <v>Hotel- und Kurbetriebe: Logiernächte im Dezember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VLOOKUP("&lt;T12SpaltenTitel_1&gt;",Uebersetzungen!$B$4:$E$315,Uebersetzungen!$B$2+1,FALSE)</f>
        <v>Dezember 2025</v>
      </c>
      <c r="D39" s="21" t="str">
        <f>VLOOKUP("&lt;T12SpaltenTitel_2&gt;",Uebersetzungen!$B$4:$E$315,Uebersetzungen!$B$2+1,FALSE)</f>
        <v>Dezember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VLOOKUP("&lt;T12SpaltenTitel_5&gt;",Uebersetzungen!$B$4:$E$315,Uebersetzungen!$B$2+1,FALSE)</f>
        <v>Januar-Dezember 25</v>
      </c>
      <c r="H39" s="22" t="str">
        <f>VLOOKUP("&lt;T12SpaltenTitel_6&gt;",Uebersetzungen!$B$4:$E$315,Uebersetzungen!$B$2+1,FALSE)</f>
        <v>Januar-Dezember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357333</v>
      </c>
      <c r="D40" s="17">
        <v>338607</v>
      </c>
      <c r="E40" s="10">
        <f>C40/D40-1</f>
        <v>5.5303050439004409E-2</v>
      </c>
      <c r="F40" s="80">
        <v>8.8868181413734204E-2</v>
      </c>
      <c r="G40" s="83">
        <v>3566179</v>
      </c>
      <c r="H40" s="17">
        <v>3514909</v>
      </c>
      <c r="I40" s="10">
        <f>G40/H40-1</f>
        <v>1.4586437372916317E-2</v>
      </c>
      <c r="J40" s="44">
        <v>-3.0954372361140847E-2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91257</v>
      </c>
      <c r="D41" s="17">
        <v>87806</v>
      </c>
      <c r="E41" s="10">
        <f t="shared" ref="E41:E74" si="2">C41/D41-1</f>
        <v>3.9302553356262759E-2</v>
      </c>
      <c r="F41" s="80">
        <v>0.25405733728737645</v>
      </c>
      <c r="G41" s="83">
        <v>761523</v>
      </c>
      <c r="H41" s="17">
        <v>770934</v>
      </c>
      <c r="I41" s="10">
        <f t="shared" ref="I41:I74" si="3">G41/H41-1</f>
        <v>-1.2207270661301783E-2</v>
      </c>
      <c r="J41" s="44">
        <v>0.14021341635054063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21452</v>
      </c>
      <c r="D42" s="17">
        <v>17089</v>
      </c>
      <c r="E42" s="10">
        <f t="shared" si="2"/>
        <v>0.25531043361226513</v>
      </c>
      <c r="F42" s="80">
        <v>0.92008879023307433</v>
      </c>
      <c r="G42" s="83">
        <v>177216</v>
      </c>
      <c r="H42" s="17">
        <v>151347</v>
      </c>
      <c r="I42" s="10">
        <f t="shared" si="3"/>
        <v>0.17092509266784273</v>
      </c>
      <c r="J42" s="44">
        <v>0.94897918783735657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19402</v>
      </c>
      <c r="D43" s="17">
        <v>17208</v>
      </c>
      <c r="E43" s="10">
        <f t="shared" si="2"/>
        <v>0.1274988377498838</v>
      </c>
      <c r="F43" s="80">
        <v>0.49234674255826483</v>
      </c>
      <c r="G43" s="83">
        <v>180323</v>
      </c>
      <c r="H43" s="17">
        <v>161369</v>
      </c>
      <c r="I43" s="10">
        <f t="shared" si="3"/>
        <v>0.11745750422943679</v>
      </c>
      <c r="J43" s="44">
        <v>0.58594589650362439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5515</v>
      </c>
      <c r="D44" s="17">
        <v>5438</v>
      </c>
      <c r="E44" s="10">
        <f t="shared" si="2"/>
        <v>1.415961750643624E-2</v>
      </c>
      <c r="F44" s="80">
        <v>0.28500862109138358</v>
      </c>
      <c r="G44" s="83">
        <v>86553</v>
      </c>
      <c r="H44" s="17">
        <v>103040</v>
      </c>
      <c r="I44" s="10">
        <f t="shared" si="3"/>
        <v>-0.16000582298136645</v>
      </c>
      <c r="J44" s="44">
        <v>-0.27045438453939497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12519</v>
      </c>
      <c r="D45" s="17">
        <v>10791</v>
      </c>
      <c r="E45" s="10">
        <f t="shared" si="2"/>
        <v>0.16013344453711431</v>
      </c>
      <c r="F45" s="80">
        <v>0.65788219091005407</v>
      </c>
      <c r="G45" s="83">
        <v>112373</v>
      </c>
      <c r="H45" s="17">
        <v>105303</v>
      </c>
      <c r="I45" s="10">
        <f t="shared" si="3"/>
        <v>6.7139587666068312E-2</v>
      </c>
      <c r="J45" s="44">
        <v>0.3472656165700736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3580</v>
      </c>
      <c r="D46" s="17">
        <v>3787</v>
      </c>
      <c r="E46" s="10">
        <f t="shared" si="2"/>
        <v>-5.4660681278056455E-2</v>
      </c>
      <c r="F46" s="80">
        <v>9.6410633345583863E-2</v>
      </c>
      <c r="G46" s="83">
        <v>49713</v>
      </c>
      <c r="H46" s="17">
        <v>50227</v>
      </c>
      <c r="I46" s="10">
        <f t="shared" si="3"/>
        <v>-1.0233539729627483E-2</v>
      </c>
      <c r="J46" s="44">
        <v>0.20599979622235054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17435</v>
      </c>
      <c r="D47" s="17">
        <v>13712</v>
      </c>
      <c r="E47" s="10">
        <f t="shared" si="2"/>
        <v>0.27151400233372236</v>
      </c>
      <c r="F47" s="80">
        <v>0.38588598136784213</v>
      </c>
      <c r="G47" s="83">
        <v>111647</v>
      </c>
      <c r="H47" s="17">
        <v>103583</v>
      </c>
      <c r="I47" s="10">
        <f t="shared" si="3"/>
        <v>7.7850612552252674E-2</v>
      </c>
      <c r="J47" s="44">
        <v>0.30086198258324459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5593</v>
      </c>
      <c r="D48" s="17">
        <v>5244</v>
      </c>
      <c r="E48" s="10">
        <f t="shared" si="2"/>
        <v>6.6552250190694107E-2</v>
      </c>
      <c r="F48" s="80">
        <v>4.8595747872061112E-2</v>
      </c>
      <c r="G48" s="83">
        <v>65718</v>
      </c>
      <c r="H48" s="17">
        <v>62520</v>
      </c>
      <c r="I48" s="10">
        <f t="shared" si="3"/>
        <v>5.1151631477927006E-2</v>
      </c>
      <c r="J48" s="44">
        <v>0.27754622789692229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4397</v>
      </c>
      <c r="D49" s="17">
        <v>3659</v>
      </c>
      <c r="E49" s="10">
        <f t="shared" si="2"/>
        <v>0.2016944520360755</v>
      </c>
      <c r="F49" s="80">
        <v>1.1123174481168334</v>
      </c>
      <c r="G49" s="83">
        <v>29470</v>
      </c>
      <c r="H49" s="17">
        <v>26926</v>
      </c>
      <c r="I49" s="10">
        <f t="shared" si="3"/>
        <v>9.4481170615761778E-2</v>
      </c>
      <c r="J49" s="44">
        <v>1.0689994102614508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300</v>
      </c>
      <c r="D50" s="17">
        <v>241</v>
      </c>
      <c r="E50" s="10">
        <f t="shared" si="2"/>
        <v>0.24481327800829877</v>
      </c>
      <c r="F50" s="80">
        <v>0.73410404624277459</v>
      </c>
      <c r="G50" s="83">
        <v>17227</v>
      </c>
      <c r="H50" s="17">
        <v>17663</v>
      </c>
      <c r="I50" s="10">
        <f t="shared" si="3"/>
        <v>-2.4684368453830041E-2</v>
      </c>
      <c r="J50" s="44">
        <v>1.6462365591397852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1572</v>
      </c>
      <c r="D51" s="17">
        <v>1096</v>
      </c>
      <c r="E51" s="10">
        <f t="shared" si="2"/>
        <v>0.43430656934306566</v>
      </c>
      <c r="F51" s="80">
        <v>0.74395384956733968</v>
      </c>
      <c r="G51" s="83">
        <v>38975</v>
      </c>
      <c r="H51" s="17">
        <v>36316</v>
      </c>
      <c r="I51" s="10">
        <f t="shared" si="3"/>
        <v>7.321841612512392E-2</v>
      </c>
      <c r="J51" s="44">
        <v>1.0137747879013341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3041</v>
      </c>
      <c r="D52" s="17">
        <v>2665</v>
      </c>
      <c r="E52" s="10">
        <f t="shared" si="2"/>
        <v>0.14108818011257029</v>
      </c>
      <c r="F52" s="80">
        <v>1.2116363636363636</v>
      </c>
      <c r="G52" s="83">
        <v>19530</v>
      </c>
      <c r="H52" s="17">
        <v>15965</v>
      </c>
      <c r="I52" s="10">
        <f t="shared" si="3"/>
        <v>0.22330097087378631</v>
      </c>
      <c r="J52" s="44">
        <v>1.0077307399716262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627</v>
      </c>
      <c r="D53" s="17">
        <v>410</v>
      </c>
      <c r="E53" s="10">
        <f t="shared" si="2"/>
        <v>0.52926829268292686</v>
      </c>
      <c r="F53" s="80">
        <v>1.4171164225134927</v>
      </c>
      <c r="G53" s="83">
        <v>21498</v>
      </c>
      <c r="H53" s="17">
        <v>16623</v>
      </c>
      <c r="I53" s="10">
        <f t="shared" si="3"/>
        <v>0.29326836311135174</v>
      </c>
      <c r="J53" s="44">
        <v>1.7189254818637125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1475</v>
      </c>
      <c r="D54" s="17">
        <v>935</v>
      </c>
      <c r="E54" s="10">
        <f t="shared" si="2"/>
        <v>0.57754010695187175</v>
      </c>
      <c r="F54" s="80">
        <v>1.6759796806966616</v>
      </c>
      <c r="G54" s="83">
        <v>16225</v>
      </c>
      <c r="H54" s="17">
        <v>15442</v>
      </c>
      <c r="I54" s="10">
        <f t="shared" si="3"/>
        <v>5.0705867115658609E-2</v>
      </c>
      <c r="J54" s="44">
        <v>1.2928325137075349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4058</v>
      </c>
      <c r="D55" s="17">
        <v>2504</v>
      </c>
      <c r="E55" s="10">
        <f t="shared" si="2"/>
        <v>0.62060702875399354</v>
      </c>
      <c r="F55" s="80">
        <v>5.004398902861884E-2</v>
      </c>
      <c r="G55" s="83">
        <v>35516</v>
      </c>
      <c r="H55" s="17">
        <v>29784</v>
      </c>
      <c r="I55" s="10">
        <f t="shared" si="3"/>
        <v>0.19245232339511142</v>
      </c>
      <c r="J55" s="44">
        <v>-0.13804903383635658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3896</v>
      </c>
      <c r="D56" s="17">
        <v>3735</v>
      </c>
      <c r="E56" s="10">
        <f t="shared" si="2"/>
        <v>4.3105756358768454E-2</v>
      </c>
      <c r="F56" s="80">
        <v>1.1164710995219469</v>
      </c>
      <c r="G56" s="83">
        <v>35652</v>
      </c>
      <c r="H56" s="17">
        <v>29595</v>
      </c>
      <c r="I56" s="10">
        <f t="shared" si="3"/>
        <v>0.20466294982260513</v>
      </c>
      <c r="J56" s="44">
        <v>1.0781794653578469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1830</v>
      </c>
      <c r="D57" s="17">
        <v>1595</v>
      </c>
      <c r="E57" s="10">
        <f t="shared" si="2"/>
        <v>0.14733542319749215</v>
      </c>
      <c r="F57" s="80">
        <v>1.281795511221945</v>
      </c>
      <c r="G57" s="83">
        <v>17531</v>
      </c>
      <c r="H57" s="17">
        <v>13388</v>
      </c>
      <c r="I57" s="10">
        <f t="shared" si="3"/>
        <v>0.30945622945921714</v>
      </c>
      <c r="J57" s="44">
        <v>1.40565908280045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3734</v>
      </c>
      <c r="D58" s="17">
        <v>3690</v>
      </c>
      <c r="E58" s="10">
        <f t="shared" si="2"/>
        <v>1.1924119241192521E-2</v>
      </c>
      <c r="F58" s="80">
        <v>0.25344075193017801</v>
      </c>
      <c r="G58" s="83">
        <v>24455</v>
      </c>
      <c r="H58" s="17">
        <v>23610</v>
      </c>
      <c r="I58" s="10">
        <f t="shared" si="3"/>
        <v>3.5789919525624825E-2</v>
      </c>
      <c r="J58" s="44">
        <v>0.284144971066699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1201</v>
      </c>
      <c r="D59" s="17">
        <v>1011</v>
      </c>
      <c r="E59" s="10">
        <f t="shared" si="2"/>
        <v>0.18793273986152315</v>
      </c>
      <c r="F59" s="80">
        <v>0.1712502438072947</v>
      </c>
      <c r="G59" s="83">
        <v>17102</v>
      </c>
      <c r="H59" s="17">
        <v>15588</v>
      </c>
      <c r="I59" s="10">
        <f t="shared" si="3"/>
        <v>9.7125994354631873E-2</v>
      </c>
      <c r="J59" s="44">
        <v>0.31236858664456646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943</v>
      </c>
      <c r="D60" s="17">
        <v>743</v>
      </c>
      <c r="E60" s="10">
        <f t="shared" si="2"/>
        <v>0.26917900403768513</v>
      </c>
      <c r="F60" s="80">
        <v>0.33305060785976814</v>
      </c>
      <c r="G60" s="83">
        <v>15041</v>
      </c>
      <c r="H60" s="17">
        <v>14958</v>
      </c>
      <c r="I60" s="10">
        <f t="shared" si="3"/>
        <v>5.5488701698087617E-3</v>
      </c>
      <c r="J60" s="44">
        <v>0.28019405906885719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2924</v>
      </c>
      <c r="D61" s="17">
        <v>2129</v>
      </c>
      <c r="E61" s="10">
        <f t="shared" si="2"/>
        <v>0.3734147487083137</v>
      </c>
      <c r="F61" s="80">
        <v>0.74275837406127065</v>
      </c>
      <c r="G61" s="83">
        <v>19141</v>
      </c>
      <c r="H61" s="17">
        <v>16258</v>
      </c>
      <c r="I61" s="10">
        <f t="shared" si="3"/>
        <v>0.17732808463525651</v>
      </c>
      <c r="J61" s="44">
        <v>0.70950628751071743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1971</v>
      </c>
      <c r="D62" s="17">
        <v>2149</v>
      </c>
      <c r="E62" s="10">
        <f t="shared" si="2"/>
        <v>-8.2829222894369448E-2</v>
      </c>
      <c r="F62" s="80">
        <v>0.25095201827875102</v>
      </c>
      <c r="G62" s="83">
        <v>14636</v>
      </c>
      <c r="H62" s="17">
        <v>15134</v>
      </c>
      <c r="I62" s="10">
        <f t="shared" si="3"/>
        <v>-3.2906039381525032E-2</v>
      </c>
      <c r="J62" s="44">
        <v>8.0338953024889914E-2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3828</v>
      </c>
      <c r="D63" s="17">
        <v>3367</v>
      </c>
      <c r="E63" s="10">
        <f t="shared" si="2"/>
        <v>0.13691713691713692</v>
      </c>
      <c r="F63" s="80">
        <v>0.82895365504061158</v>
      </c>
      <c r="G63" s="83">
        <v>17173</v>
      </c>
      <c r="H63" s="17">
        <v>14723</v>
      </c>
      <c r="I63" s="10">
        <f t="shared" si="3"/>
        <v>0.16640630306323434</v>
      </c>
      <c r="J63" s="44">
        <v>0.77484032328076236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2579</v>
      </c>
      <c r="D66" s="17">
        <v>2568</v>
      </c>
      <c r="E66" s="10">
        <f t="shared" si="2"/>
        <v>4.2834890965732786E-3</v>
      </c>
      <c r="F66" s="80">
        <v>0.92836847614774931</v>
      </c>
      <c r="G66" s="83">
        <v>17475</v>
      </c>
      <c r="H66" s="17">
        <v>16980</v>
      </c>
      <c r="I66" s="10">
        <f t="shared" si="3"/>
        <v>2.9151943462897512E-2</v>
      </c>
      <c r="J66" s="44">
        <v>0.99154377407517136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7041</v>
      </c>
      <c r="D67" s="17">
        <v>5787</v>
      </c>
      <c r="E67" s="10">
        <f t="shared" si="2"/>
        <v>0.21669258683255577</v>
      </c>
      <c r="F67" s="80">
        <v>0.61602019738352087</v>
      </c>
      <c r="G67" s="83">
        <v>54924</v>
      </c>
      <c r="H67" s="17">
        <v>45992</v>
      </c>
      <c r="I67" s="10">
        <f t="shared" si="3"/>
        <v>0.19420768829361634</v>
      </c>
      <c r="J67" s="44">
        <v>0.51029521756346474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7856</v>
      </c>
      <c r="D68" s="17">
        <v>7243</v>
      </c>
      <c r="E68" s="10">
        <f t="shared" si="2"/>
        <v>8.4633439182659087E-2</v>
      </c>
      <c r="F68" s="80">
        <v>0.49200440612299179</v>
      </c>
      <c r="G68" s="83">
        <v>39561</v>
      </c>
      <c r="H68" s="17">
        <v>42036</v>
      </c>
      <c r="I68" s="10">
        <f t="shared" si="3"/>
        <v>-5.8878104481872695E-2</v>
      </c>
      <c r="J68" s="44">
        <v>0.44450692294210414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7197</v>
      </c>
      <c r="D69" s="17">
        <v>6494</v>
      </c>
      <c r="E69" s="10">
        <f t="shared" si="2"/>
        <v>0.10825377271327374</v>
      </c>
      <c r="F69" s="80">
        <v>0.20621459457647573</v>
      </c>
      <c r="G69" s="83">
        <v>52216</v>
      </c>
      <c r="H69" s="17">
        <v>43413</v>
      </c>
      <c r="I69" s="10">
        <f t="shared" si="3"/>
        <v>0.20277336281758918</v>
      </c>
      <c r="J69" s="44">
        <v>0.2687212681381268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4375</v>
      </c>
      <c r="D70" s="17">
        <v>3304</v>
      </c>
      <c r="E70" s="10">
        <f t="shared" si="2"/>
        <v>0.32415254237288127</v>
      </c>
      <c r="F70" s="80">
        <v>0.82109557109557096</v>
      </c>
      <c r="G70" s="83">
        <v>25907</v>
      </c>
      <c r="H70" s="17">
        <v>19164</v>
      </c>
      <c r="I70" s="10">
        <f t="shared" si="3"/>
        <v>0.35185764975996658</v>
      </c>
      <c r="J70" s="44">
        <v>1.4621276919275434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1414</v>
      </c>
      <c r="D71" s="17">
        <v>1565</v>
      </c>
      <c r="E71" s="10">
        <f t="shared" si="2"/>
        <v>-9.6485623003194854E-2</v>
      </c>
      <c r="F71" s="80">
        <v>0.51100662534729646</v>
      </c>
      <c r="G71" s="83">
        <v>7418</v>
      </c>
      <c r="H71" s="17">
        <v>8302</v>
      </c>
      <c r="I71" s="10">
        <f t="shared" si="3"/>
        <v>-0.10648036617682488</v>
      </c>
      <c r="J71" s="44">
        <v>0.39205824951208545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4872</v>
      </c>
      <c r="D72" s="17">
        <v>4779</v>
      </c>
      <c r="E72" s="10">
        <f t="shared" si="2"/>
        <v>1.9460138104205882E-2</v>
      </c>
      <c r="F72" s="80">
        <v>0.61004626569729026</v>
      </c>
      <c r="G72" s="83">
        <v>32021</v>
      </c>
      <c r="H72" s="17">
        <v>25946</v>
      </c>
      <c r="I72" s="10">
        <f t="shared" si="3"/>
        <v>0.23414013720804738</v>
      </c>
      <c r="J72" s="44">
        <v>0.864243962646422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605217</v>
      </c>
      <c r="D74" s="40">
        <v>561351</v>
      </c>
      <c r="E74" s="65">
        <f t="shared" si="2"/>
        <v>7.8143621370586391E-2</v>
      </c>
      <c r="F74" s="82">
        <v>0.20242058823178799</v>
      </c>
      <c r="G74" s="79">
        <v>5679939</v>
      </c>
      <c r="H74" s="40">
        <v>5527038</v>
      </c>
      <c r="I74" s="65">
        <f t="shared" si="3"/>
        <v>2.7664184686264193E-2</v>
      </c>
      <c r="J74" s="66">
        <v>7.4005442316306791E-2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VLOOKUP("&lt;T12Titel3&gt;",Uebersetzungen!$B$4:$E$315,Uebersetzungen!$B$2+1,FALSE)</f>
        <v>Hotel- und Kurbetriebe: Logiernächte im Dezember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VLOOKUP("&lt;T12SpaltenTitel_1&gt;",Uebersetzungen!$B$4:$E$315,Uebersetzungen!$B$2+1,FALSE)</f>
        <v>Dezember 2025</v>
      </c>
      <c r="D82" s="21" t="str">
        <f>VLOOKUP("&lt;T12SpaltenTitel_2&gt;",Uebersetzungen!$B$4:$E$315,Uebersetzungen!$B$2+1,FALSE)</f>
        <v>Dezember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VLOOKUP("&lt;T12SpaltenTitel_5&gt;",Uebersetzungen!$B$4:$E$315,Uebersetzungen!$B$2+1,FALSE)</f>
        <v>Januar-Dezember 25</v>
      </c>
      <c r="H82" s="22" t="str">
        <f>VLOOKUP("&lt;T12SpaltenTitel_6&gt;",Uebersetzungen!$B$4:$E$315,Uebersetzungen!$B$2+1,FALSE)</f>
        <v>Januar-Dezember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79549</v>
      </c>
      <c r="D83" s="17">
        <v>81105</v>
      </c>
      <c r="E83" s="10">
        <f>C83/D83-1</f>
        <v>-1.9185007089575268E-2</v>
      </c>
      <c r="F83" s="80">
        <v>0.26299528137126016</v>
      </c>
      <c r="G83" s="83">
        <v>1241214</v>
      </c>
      <c r="H83" s="17">
        <v>1215622</v>
      </c>
      <c r="I83" s="10">
        <f>G83/H83-1</f>
        <v>2.1052596942141566E-2</v>
      </c>
      <c r="J83" s="44">
        <v>0.27950102084721973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203169</v>
      </c>
      <c r="D84" s="17">
        <v>194761</v>
      </c>
      <c r="E84" s="10">
        <f t="shared" ref="E84:E96" si="4">C84/D84-1</f>
        <v>4.3170860695929791E-2</v>
      </c>
      <c r="F84" s="80">
        <v>0.65064248388103163</v>
      </c>
      <c r="G84" s="83">
        <v>1981474</v>
      </c>
      <c r="H84" s="17">
        <v>1842726</v>
      </c>
      <c r="I84" s="10">
        <f t="shared" ref="I84:I96" si="5">G84/H84-1</f>
        <v>7.5294970603334344E-2</v>
      </c>
      <c r="J84" s="44">
        <v>0.45857296618966559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415778</v>
      </c>
      <c r="D85" s="17">
        <v>387966</v>
      </c>
      <c r="E85" s="10">
        <f t="shared" si="4"/>
        <v>7.1686694194852185E-2</v>
      </c>
      <c r="F85" s="80">
        <v>0.28818279159458071</v>
      </c>
      <c r="G85" s="83">
        <v>6092786</v>
      </c>
      <c r="H85" s="17">
        <v>6149887</v>
      </c>
      <c r="I85" s="10">
        <f t="shared" si="5"/>
        <v>-9.2848860474997741E-3</v>
      </c>
      <c r="J85" s="44">
        <v>0.23738047932762774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32868</v>
      </c>
      <c r="D86" s="17">
        <v>30608</v>
      </c>
      <c r="E86" s="10">
        <f t="shared" si="4"/>
        <v>7.383690538421317E-2</v>
      </c>
      <c r="F86" s="80">
        <v>0.30878335868500484</v>
      </c>
      <c r="G86" s="83">
        <v>513795</v>
      </c>
      <c r="H86" s="17">
        <v>484516</v>
      </c>
      <c r="I86" s="10">
        <f t="shared" si="5"/>
        <v>6.0429376945240199E-2</v>
      </c>
      <c r="J86" s="44">
        <v>0.19329694106105522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332196</v>
      </c>
      <c r="D87" s="17">
        <v>317656</v>
      </c>
      <c r="E87" s="10">
        <f t="shared" si="4"/>
        <v>4.5772785654922377E-2</v>
      </c>
      <c r="F87" s="80">
        <v>0.55148981244588158</v>
      </c>
      <c r="G87" s="83">
        <v>3851477</v>
      </c>
      <c r="H87" s="17">
        <v>3787771</v>
      </c>
      <c r="I87" s="10">
        <f t="shared" si="5"/>
        <v>1.6818862597554052E-2</v>
      </c>
      <c r="J87" s="44">
        <v>0.49593591615406818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605217</v>
      </c>
      <c r="D88" s="62">
        <v>561351</v>
      </c>
      <c r="E88" s="63">
        <f t="shared" si="4"/>
        <v>7.8143621370586391E-2</v>
      </c>
      <c r="F88" s="85">
        <v>0.20242058823178799</v>
      </c>
      <c r="G88" s="87">
        <v>5679939</v>
      </c>
      <c r="H88" s="62">
        <v>5527038</v>
      </c>
      <c r="I88" s="63">
        <f t="shared" si="5"/>
        <v>2.7664184686264193E-2</v>
      </c>
      <c r="J88" s="64">
        <v>7.4005442316306791E-2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32709</v>
      </c>
      <c r="D89" s="17">
        <v>31575</v>
      </c>
      <c r="E89" s="10">
        <f t="shared" si="4"/>
        <v>3.5914489311163811E-2</v>
      </c>
      <c r="F89" s="80">
        <v>0.19896631355155603</v>
      </c>
      <c r="G89" s="83">
        <v>620099</v>
      </c>
      <c r="H89" s="17">
        <v>615361</v>
      </c>
      <c r="I89" s="10">
        <f t="shared" si="5"/>
        <v>7.6995454700574673E-3</v>
      </c>
      <c r="J89" s="44">
        <v>0.11270433705969962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302767</v>
      </c>
      <c r="D90" s="17">
        <v>275488</v>
      </c>
      <c r="E90" s="10">
        <f t="shared" si="4"/>
        <v>9.9020646997328488E-2</v>
      </c>
      <c r="F90" s="80">
        <v>0.39657699861895401</v>
      </c>
      <c r="G90" s="83">
        <v>4202624</v>
      </c>
      <c r="H90" s="17">
        <v>4068528</v>
      </c>
      <c r="I90" s="10">
        <f t="shared" si="5"/>
        <v>3.2959340577230822E-2</v>
      </c>
      <c r="J90" s="44">
        <v>0.28422743279433527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124286</v>
      </c>
      <c r="D91" s="17">
        <v>121925</v>
      </c>
      <c r="E91" s="10">
        <f t="shared" si="4"/>
        <v>1.9364363338117752E-2</v>
      </c>
      <c r="F91" s="80">
        <v>0.16020036480882993</v>
      </c>
      <c r="G91" s="83">
        <v>2032763</v>
      </c>
      <c r="H91" s="17">
        <v>2034898</v>
      </c>
      <c r="I91" s="10">
        <f t="shared" si="5"/>
        <v>-1.0491926376653415E-3</v>
      </c>
      <c r="J91" s="44">
        <v>8.6513095372229509E-2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102423</v>
      </c>
      <c r="D92" s="17">
        <v>92356</v>
      </c>
      <c r="E92" s="10">
        <f t="shared" si="4"/>
        <v>0.10900212222270356</v>
      </c>
      <c r="F92" s="80">
        <v>0.3628670199035029</v>
      </c>
      <c r="G92" s="83">
        <v>2510079</v>
      </c>
      <c r="H92" s="17">
        <v>2420801</v>
      </c>
      <c r="I92" s="10">
        <f t="shared" si="5"/>
        <v>3.6879528717973953E-2</v>
      </c>
      <c r="J92" s="44">
        <v>2.0191598145276934E-2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247658</v>
      </c>
      <c r="D93" s="17">
        <v>224338</v>
      </c>
      <c r="E93" s="10">
        <f t="shared" si="4"/>
        <v>0.10395028929561634</v>
      </c>
      <c r="F93" s="80">
        <v>0.40586487557376616</v>
      </c>
      <c r="G93" s="83">
        <v>3114208</v>
      </c>
      <c r="H93" s="17">
        <v>2944702</v>
      </c>
      <c r="I93" s="10">
        <f t="shared" si="5"/>
        <v>5.7563040334811522E-2</v>
      </c>
      <c r="J93" s="44">
        <v>0.28129531703440347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431904</v>
      </c>
      <c r="D94" s="17">
        <v>401171</v>
      </c>
      <c r="E94" s="33">
        <f t="shared" si="4"/>
        <v>7.6608229408406947E-2</v>
      </c>
      <c r="F94" s="80">
        <v>0.21962197998810606</v>
      </c>
      <c r="G94" s="83">
        <v>4532842</v>
      </c>
      <c r="H94" s="17">
        <v>4435124</v>
      </c>
      <c r="I94" s="33">
        <f t="shared" si="5"/>
        <v>2.2032754890280337E-2</v>
      </c>
      <c r="J94" s="44">
        <v>0.14266836606592759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652753</v>
      </c>
      <c r="D95" s="18">
        <v>617062</v>
      </c>
      <c r="E95" s="43">
        <f t="shared" si="4"/>
        <v>5.7840217028434671E-2</v>
      </c>
      <c r="F95" s="11">
        <v>0.53406225338197189</v>
      </c>
      <c r="G95" s="84">
        <v>7556846</v>
      </c>
      <c r="H95" s="18">
        <v>7303614</v>
      </c>
      <c r="I95" s="43">
        <f t="shared" si="5"/>
        <v>3.4672149979448452E-2</v>
      </c>
      <c r="J95" s="48">
        <v>0.47614328425895214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3563277</v>
      </c>
      <c r="D96" s="40">
        <v>3337362</v>
      </c>
      <c r="E96" s="41">
        <f t="shared" si="4"/>
        <v>6.7692686618952225E-2</v>
      </c>
      <c r="F96" s="86">
        <v>0.35303759337056295</v>
      </c>
      <c r="G96" s="79">
        <v>43930146</v>
      </c>
      <c r="H96" s="40">
        <v>42830588</v>
      </c>
      <c r="I96" s="41">
        <f t="shared" si="5"/>
        <v>2.567226020805502E-2</v>
      </c>
      <c r="J96" s="45">
        <v>0.24716231770148744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VLOOKUP("&lt;T12Aktualisierung&gt;",Uebersetzungen!$B$4:$E$315,Uebersetzungen!$B$2+1,FALSE)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VLOOKUP("&lt;T12Legende_3&gt;",Uebersetzungen!$B$4:$E$315,Uebersetzungen!$B$2+1,FALSE)</f>
        <v>Daten des Januar 2026 erscheinen am 09. März 2026.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000-000000000000}"/>
    <hyperlink ref="E76" location="Länder_Pajais_Paesi!A1" display="Länder / Pajais / Paese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VLOOKUP("&lt;T3Titel1&gt;",Uebersetzungen!$B$4:$E$315,Uebersetzungen!$B$2+1,FALSE)</f>
        <v>Hotel- und Kurbetriebe: Logiernächte im März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VLOOKUP("&lt;T3SpaltenTitel_1&gt;",Uebersetzungen!$B$4:$E$315,Uebersetzungen!$B$2+1,FALSE)</f>
        <v>März 2025</v>
      </c>
      <c r="D12" s="21" t="str">
        <f>VLOOKUP("&lt;T3SpaltenTitel_2&gt;",Uebersetzungen!$B$4:$E$315,Uebersetzungen!$B$2+1,FALSE)</f>
        <v>März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VLOOKUP("&lt;T3SpaltenTitel_5&gt;",Uebersetzungen!$B$4:$E$315,Uebersetzungen!$B$2+1,FALSE)</f>
        <v>Januar-März 25</v>
      </c>
      <c r="H12" s="22" t="str">
        <f>VLOOKUP("&lt;T3SpaltenTitel_6&gt;",Uebersetzungen!$B$4:$E$315,Uebersetzungen!$B$2+1,FALSE)</f>
        <v>Januar-März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63143</v>
      </c>
      <c r="D13" s="52">
        <v>66184</v>
      </c>
      <c r="E13" s="53">
        <f t="shared" ref="E13:E31" si="0">C13/D13-1</f>
        <v>-4.5947661066118695E-2</v>
      </c>
      <c r="F13" s="72">
        <v>0.17162334674247037</v>
      </c>
      <c r="G13" s="76">
        <v>216908</v>
      </c>
      <c r="H13" s="52">
        <v>223703</v>
      </c>
      <c r="I13" s="53">
        <f t="shared" ref="I13:I31" si="1">G13/H13-1</f>
        <v>-3.0375095550797315E-2</v>
      </c>
      <c r="J13" s="54">
        <v>0.12724570347619557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4765</v>
      </c>
      <c r="D14" s="52">
        <v>4523</v>
      </c>
      <c r="E14" s="53">
        <f t="shared" si="0"/>
        <v>5.350431129781108E-2</v>
      </c>
      <c r="F14" s="72">
        <v>0.16321648276535505</v>
      </c>
      <c r="G14" s="76">
        <v>20423</v>
      </c>
      <c r="H14" s="52">
        <v>20136</v>
      </c>
      <c r="I14" s="53">
        <f t="shared" si="1"/>
        <v>1.4253079062375829E-2</v>
      </c>
      <c r="J14" s="54">
        <v>1.2001506382303795E-2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4576</v>
      </c>
      <c r="D15" s="52">
        <v>4032</v>
      </c>
      <c r="E15" s="53">
        <f t="shared" si="0"/>
        <v>0.13492063492063489</v>
      </c>
      <c r="F15" s="72">
        <v>0.16889751711453971</v>
      </c>
      <c r="G15" s="76">
        <v>14197</v>
      </c>
      <c r="H15" s="52">
        <v>15845</v>
      </c>
      <c r="I15" s="53">
        <f t="shared" si="1"/>
        <v>-0.10400757336699273</v>
      </c>
      <c r="J15" s="54">
        <v>-2.470357088880637E-2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3839</v>
      </c>
      <c r="D16" s="52">
        <v>4021</v>
      </c>
      <c r="E16" s="53">
        <f t="shared" si="0"/>
        <v>-4.5262372544143226E-2</v>
      </c>
      <c r="F16" s="72">
        <v>0.21795685279187826</v>
      </c>
      <c r="G16" s="76">
        <v>11709</v>
      </c>
      <c r="H16" s="52">
        <v>12059</v>
      </c>
      <c r="I16" s="53">
        <f t="shared" si="1"/>
        <v>-2.9023965502943838E-2</v>
      </c>
      <c r="J16" s="54">
        <v>0.26663205036671633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18221</v>
      </c>
      <c r="D17" s="52">
        <v>18582</v>
      </c>
      <c r="E17" s="53">
        <f t="shared" si="0"/>
        <v>-1.9427402862985721E-2</v>
      </c>
      <c r="F17" s="72">
        <v>0.44794977749523213</v>
      </c>
      <c r="G17" s="76">
        <v>57922</v>
      </c>
      <c r="H17" s="52">
        <v>56127</v>
      </c>
      <c r="I17" s="53">
        <f t="shared" si="1"/>
        <v>3.198104299178639E-2</v>
      </c>
      <c r="J17" s="54">
        <v>0.42141970188518107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108150</v>
      </c>
      <c r="D18" s="52">
        <v>115189</v>
      </c>
      <c r="E18" s="53">
        <f t="shared" si="0"/>
        <v>-6.1108265546189311E-2</v>
      </c>
      <c r="F18" s="72">
        <v>0.13512560377346605</v>
      </c>
      <c r="G18" s="76">
        <v>367546</v>
      </c>
      <c r="H18" s="52">
        <v>399184</v>
      </c>
      <c r="I18" s="53">
        <f t="shared" si="1"/>
        <v>-7.9256683634614578E-2</v>
      </c>
      <c r="J18" s="54">
        <v>2.1490015941587615E-2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13201</v>
      </c>
      <c r="D19" s="52">
        <v>14595</v>
      </c>
      <c r="E19" s="53">
        <f t="shared" si="0"/>
        <v>-9.5512161699212061E-2</v>
      </c>
      <c r="F19" s="72">
        <v>-5.8832755842637363E-2</v>
      </c>
      <c r="G19" s="76">
        <v>54179</v>
      </c>
      <c r="H19" s="52">
        <v>63341</v>
      </c>
      <c r="I19" s="53">
        <f t="shared" si="1"/>
        <v>-0.14464564815838088</v>
      </c>
      <c r="J19" s="54">
        <v>1.9709477186919955E-2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58744</v>
      </c>
      <c r="D20" s="52">
        <v>56144</v>
      </c>
      <c r="E20" s="53">
        <f t="shared" si="0"/>
        <v>4.6309489883157529E-2</v>
      </c>
      <c r="F20" s="72">
        <v>0.19479484039978368</v>
      </c>
      <c r="G20" s="76">
        <v>203389</v>
      </c>
      <c r="H20" s="52">
        <v>201084</v>
      </c>
      <c r="I20" s="53">
        <f t="shared" si="1"/>
        <v>1.1462871237890582E-2</v>
      </c>
      <c r="J20" s="54">
        <v>0.13960271995409967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207567</v>
      </c>
      <c r="D21" s="52">
        <v>191344</v>
      </c>
      <c r="E21" s="53">
        <f t="shared" si="0"/>
        <v>8.4784471945814843E-2</v>
      </c>
      <c r="F21" s="72">
        <v>0.31830254899644439</v>
      </c>
      <c r="G21" s="76">
        <v>679812</v>
      </c>
      <c r="H21" s="52">
        <v>662534</v>
      </c>
      <c r="I21" s="53">
        <f t="shared" si="1"/>
        <v>2.6078661623403443E-2</v>
      </c>
      <c r="J21" s="54">
        <v>0.19783188854827372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66910</v>
      </c>
      <c r="D22" s="52">
        <v>62777</v>
      </c>
      <c r="E22" s="53">
        <f t="shared" si="0"/>
        <v>6.5836213899995277E-2</v>
      </c>
      <c r="F22" s="72">
        <v>0.13702405916399596</v>
      </c>
      <c r="G22" s="76">
        <v>210372</v>
      </c>
      <c r="H22" s="52">
        <v>210448</v>
      </c>
      <c r="I22" s="53">
        <f t="shared" si="1"/>
        <v>-3.6113434197526662E-4</v>
      </c>
      <c r="J22" s="54">
        <v>2.1120197572283894E-2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35966</v>
      </c>
      <c r="D23" s="52">
        <v>38088</v>
      </c>
      <c r="E23" s="53">
        <f t="shared" si="0"/>
        <v>-5.5713085486242431E-2</v>
      </c>
      <c r="F23" s="72">
        <v>2.5250711227416067E-2</v>
      </c>
      <c r="G23" s="76">
        <v>129198</v>
      </c>
      <c r="H23" s="52">
        <v>141430</v>
      </c>
      <c r="I23" s="53">
        <f t="shared" si="1"/>
        <v>-8.6488015272572993E-2</v>
      </c>
      <c r="J23" s="54">
        <v>-3.6393849531912714E-2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9685</v>
      </c>
      <c r="D24" s="52">
        <v>8252</v>
      </c>
      <c r="E24" s="53">
        <f t="shared" si="0"/>
        <v>0.17365487154629178</v>
      </c>
      <c r="F24" s="72">
        <v>0.33490462013452427</v>
      </c>
      <c r="G24" s="76">
        <v>32501</v>
      </c>
      <c r="H24" s="52">
        <v>31526</v>
      </c>
      <c r="I24" s="53">
        <f t="shared" si="1"/>
        <v>3.0926854025248973E-2</v>
      </c>
      <c r="J24" s="54">
        <v>0.23418394471026049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3742</v>
      </c>
      <c r="D25" s="52">
        <v>2076</v>
      </c>
      <c r="E25" s="53">
        <f t="shared" si="0"/>
        <v>0.8025048169556841</v>
      </c>
      <c r="F25" s="72">
        <v>1.3981030504998717</v>
      </c>
      <c r="G25" s="76">
        <v>11253</v>
      </c>
      <c r="H25" s="52">
        <v>6999</v>
      </c>
      <c r="I25" s="53">
        <f t="shared" si="1"/>
        <v>0.60780111444492069</v>
      </c>
      <c r="J25" s="54">
        <v>0.78426460328534309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11734</v>
      </c>
      <c r="D26" s="52">
        <v>10353</v>
      </c>
      <c r="E26" s="53">
        <f t="shared" si="0"/>
        <v>0.13339128754950247</v>
      </c>
      <c r="F26" s="72">
        <v>0.36511703662338868</v>
      </c>
      <c r="G26" s="76">
        <v>40745</v>
      </c>
      <c r="H26" s="52">
        <v>38781</v>
      </c>
      <c r="I26" s="53">
        <f t="shared" si="1"/>
        <v>5.0643356282715768E-2</v>
      </c>
      <c r="J26" s="54">
        <v>0.25885944152305163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9325</v>
      </c>
      <c r="D27" s="52">
        <v>9108</v>
      </c>
      <c r="E27" s="53">
        <f t="shared" si="0"/>
        <v>2.3825208607817228E-2</v>
      </c>
      <c r="F27" s="72">
        <v>-4.8702358606055651E-2</v>
      </c>
      <c r="G27" s="77">
        <v>40411</v>
      </c>
      <c r="H27" s="52">
        <v>40046</v>
      </c>
      <c r="I27" s="53">
        <f t="shared" si="1"/>
        <v>9.1145183039504918E-3</v>
      </c>
      <c r="J27" s="54">
        <v>2.6299466567423213E-3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3146</v>
      </c>
      <c r="D28" s="52">
        <v>3007</v>
      </c>
      <c r="E28" s="53">
        <f t="shared" si="0"/>
        <v>4.6225473894246694E-2</v>
      </c>
      <c r="F28" s="72">
        <v>0.54655392783403789</v>
      </c>
      <c r="G28" s="76">
        <v>10858</v>
      </c>
      <c r="H28" s="52">
        <v>9525</v>
      </c>
      <c r="I28" s="53">
        <f t="shared" si="1"/>
        <v>0.13994750656167976</v>
      </c>
      <c r="J28" s="54">
        <v>0.54425987029241107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6657</v>
      </c>
      <c r="D29" s="55">
        <v>6310</v>
      </c>
      <c r="E29" s="53">
        <f t="shared" si="0"/>
        <v>5.4992076069730667E-2</v>
      </c>
      <c r="F29" s="72">
        <v>7.4923300500565171E-2</v>
      </c>
      <c r="G29" s="77">
        <v>22849</v>
      </c>
      <c r="H29" s="55">
        <v>23488</v>
      </c>
      <c r="I29" s="53">
        <f t="shared" si="1"/>
        <v>-2.7205381471389622E-2</v>
      </c>
      <c r="J29" s="54">
        <v>1.3585765623631563E-3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7261</v>
      </c>
      <c r="D30" s="57">
        <v>7526</v>
      </c>
      <c r="E30" s="53">
        <f t="shared" si="0"/>
        <v>-3.5211267605633756E-2</v>
      </c>
      <c r="F30" s="73">
        <v>0.12633015853318019</v>
      </c>
      <c r="G30" s="78">
        <v>23594</v>
      </c>
      <c r="H30" s="57">
        <v>26562</v>
      </c>
      <c r="I30" s="53">
        <f t="shared" si="1"/>
        <v>-0.11173857390256758</v>
      </c>
      <c r="J30" s="58">
        <v>1.4411749531360041E-2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636632</v>
      </c>
      <c r="D31" s="19">
        <v>622111</v>
      </c>
      <c r="E31" s="12">
        <f t="shared" si="0"/>
        <v>2.3341493720574036E-2</v>
      </c>
      <c r="F31" s="74">
        <v>0.20261335185080931</v>
      </c>
      <c r="G31" s="79">
        <v>2147866</v>
      </c>
      <c r="H31" s="19">
        <v>2182818</v>
      </c>
      <c r="I31" s="12">
        <f t="shared" si="1"/>
        <v>-1.6012329016894644E-2</v>
      </c>
      <c r="J31" s="47">
        <v>0.11022216580021205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VLOOKUP("&lt;T3Titel2&gt;",Uebersetzungen!$B$4:$E$315,Uebersetzungen!$B$2+1,FALSE)</f>
        <v>Hotel- und Kurbetriebe: Logiernächte im März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VLOOKUP("&lt;T3SpaltenTitel_1&gt;",Uebersetzungen!$B$4:$E$315,Uebersetzungen!$B$2+1,FALSE)</f>
        <v>März 2025</v>
      </c>
      <c r="D39" s="21" t="str">
        <f>VLOOKUP("&lt;T3SpaltenTitel_2&gt;",Uebersetzungen!$B$4:$E$315,Uebersetzungen!$B$2+1,FALSE)</f>
        <v>März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VLOOKUP("&lt;T3SpaltenTitel_5&gt;",Uebersetzungen!$B$4:$E$315,Uebersetzungen!$B$2+1,FALSE)</f>
        <v>Januar-März 25</v>
      </c>
      <c r="H39" s="22" t="str">
        <f>VLOOKUP("&lt;T3SpaltenTitel_6&gt;",Uebersetzungen!$B$4:$E$315,Uebersetzungen!$B$2+1,FALSE)</f>
        <v>Januar-März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376453</v>
      </c>
      <c r="D40" s="17">
        <v>373556</v>
      </c>
      <c r="E40" s="10">
        <f>C40/D40-1</f>
        <v>7.7551960080952664E-3</v>
      </c>
      <c r="F40" s="80">
        <v>8.1662652665647206E-2</v>
      </c>
      <c r="G40" s="83">
        <v>1329413</v>
      </c>
      <c r="H40" s="17">
        <v>1366543</v>
      </c>
      <c r="I40" s="10">
        <f>G40/H40-1</f>
        <v>-2.7170751304569252E-2</v>
      </c>
      <c r="J40" s="44">
        <v>2.3966781098623713E-2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118799</v>
      </c>
      <c r="D41" s="17">
        <v>125993</v>
      </c>
      <c r="E41" s="10">
        <f t="shared" ref="E41:E74" si="2">C41/D41-1</f>
        <v>-5.7098410229139751E-2</v>
      </c>
      <c r="F41" s="80">
        <v>0.29739121698067872</v>
      </c>
      <c r="G41" s="83">
        <v>301932</v>
      </c>
      <c r="H41" s="17">
        <v>348064</v>
      </c>
      <c r="I41" s="10">
        <f t="shared" ref="I41:I74" si="3">G41/H41-1</f>
        <v>-0.13253884343109312</v>
      </c>
      <c r="J41" s="44">
        <v>0.11737690357678154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18652</v>
      </c>
      <c r="D42" s="17">
        <v>13459</v>
      </c>
      <c r="E42" s="10">
        <f t="shared" si="2"/>
        <v>0.38583847239765223</v>
      </c>
      <c r="F42" s="80">
        <v>1.5958915548627735</v>
      </c>
      <c r="G42" s="83">
        <v>61568</v>
      </c>
      <c r="H42" s="17">
        <v>48993</v>
      </c>
      <c r="I42" s="10">
        <f t="shared" si="3"/>
        <v>0.25666932010695409</v>
      </c>
      <c r="J42" s="44">
        <v>1.0972455938357983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18969</v>
      </c>
      <c r="D43" s="17">
        <v>17606</v>
      </c>
      <c r="E43" s="10">
        <f t="shared" si="2"/>
        <v>7.7416789730773594E-2</v>
      </c>
      <c r="F43" s="80">
        <v>0.64049122200121067</v>
      </c>
      <c r="G43" s="83">
        <v>76780</v>
      </c>
      <c r="H43" s="17">
        <v>72756</v>
      </c>
      <c r="I43" s="10">
        <f t="shared" si="3"/>
        <v>5.5308153279454597E-2</v>
      </c>
      <c r="J43" s="44">
        <v>0.37453230455253417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10935</v>
      </c>
      <c r="D44" s="17">
        <v>6127</v>
      </c>
      <c r="E44" s="10">
        <f t="shared" si="2"/>
        <v>0.784723355638975</v>
      </c>
      <c r="F44" s="80">
        <v>0.95121516005852769</v>
      </c>
      <c r="G44" s="83">
        <v>23386</v>
      </c>
      <c r="H44" s="17">
        <v>24777</v>
      </c>
      <c r="I44" s="10">
        <f t="shared" si="3"/>
        <v>-5.6140775719417224E-2</v>
      </c>
      <c r="J44" s="44">
        <v>9.0408914999766887E-2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11652</v>
      </c>
      <c r="D45" s="17">
        <v>9434</v>
      </c>
      <c r="E45" s="10">
        <f t="shared" si="2"/>
        <v>0.2351070595717617</v>
      </c>
      <c r="F45" s="80">
        <v>0.38648262732032368</v>
      </c>
      <c r="G45" s="83">
        <v>40566</v>
      </c>
      <c r="H45" s="17">
        <v>39117</v>
      </c>
      <c r="I45" s="10">
        <f t="shared" si="3"/>
        <v>3.7042717999846708E-2</v>
      </c>
      <c r="J45" s="44">
        <v>0.2836204386953054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5717</v>
      </c>
      <c r="D46" s="17">
        <v>5582</v>
      </c>
      <c r="E46" s="10">
        <f t="shared" si="2"/>
        <v>2.4184879971336448E-2</v>
      </c>
      <c r="F46" s="80">
        <v>0.33356659668766042</v>
      </c>
      <c r="G46" s="83">
        <v>15643</v>
      </c>
      <c r="H46" s="17">
        <v>14397</v>
      </c>
      <c r="I46" s="10">
        <f t="shared" si="3"/>
        <v>8.6545808154476545E-2</v>
      </c>
      <c r="J46" s="44">
        <v>0.2879561322618891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10453</v>
      </c>
      <c r="D47" s="17">
        <v>10619</v>
      </c>
      <c r="E47" s="10">
        <f t="shared" si="2"/>
        <v>-1.563235709577171E-2</v>
      </c>
      <c r="F47" s="80">
        <v>0.47992411371616273</v>
      </c>
      <c r="G47" s="83">
        <v>40061</v>
      </c>
      <c r="H47" s="17">
        <v>40982</v>
      </c>
      <c r="I47" s="10">
        <f t="shared" si="3"/>
        <v>-2.2473280952613361E-2</v>
      </c>
      <c r="J47" s="44">
        <v>0.32171772825950695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6633</v>
      </c>
      <c r="D48" s="17">
        <v>10878</v>
      </c>
      <c r="E48" s="10">
        <f t="shared" si="2"/>
        <v>-0.39023717595146168</v>
      </c>
      <c r="F48" s="80">
        <v>0.13458314802777882</v>
      </c>
      <c r="G48" s="83">
        <v>28762</v>
      </c>
      <c r="H48" s="17">
        <v>28932</v>
      </c>
      <c r="I48" s="10">
        <f t="shared" si="3"/>
        <v>-5.8758468132171782E-3</v>
      </c>
      <c r="J48" s="44">
        <v>0.32121234393230846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2557</v>
      </c>
      <c r="D49" s="17">
        <v>1011</v>
      </c>
      <c r="E49" s="10">
        <f t="shared" si="2"/>
        <v>1.5291790306627102</v>
      </c>
      <c r="F49" s="80">
        <v>2.6876261897894436</v>
      </c>
      <c r="G49" s="83">
        <v>10155</v>
      </c>
      <c r="H49" s="17">
        <v>9083</v>
      </c>
      <c r="I49" s="10">
        <f t="shared" si="3"/>
        <v>0.11802267973136638</v>
      </c>
      <c r="J49" s="44">
        <v>0.96315341787813202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193</v>
      </c>
      <c r="D50" s="17">
        <v>386</v>
      </c>
      <c r="E50" s="10">
        <f t="shared" si="2"/>
        <v>-0.5</v>
      </c>
      <c r="F50" s="80">
        <v>0.51491365777080067</v>
      </c>
      <c r="G50" s="83">
        <v>828</v>
      </c>
      <c r="H50" s="17">
        <v>958</v>
      </c>
      <c r="I50" s="10">
        <f t="shared" si="3"/>
        <v>-0.13569937369519836</v>
      </c>
      <c r="J50" s="44">
        <v>1.0185275475377868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3259</v>
      </c>
      <c r="D51" s="17">
        <v>3711</v>
      </c>
      <c r="E51" s="10">
        <f t="shared" si="2"/>
        <v>-0.1218000538938292</v>
      </c>
      <c r="F51" s="80">
        <v>0.60431229693807209</v>
      </c>
      <c r="G51" s="83">
        <v>8690</v>
      </c>
      <c r="H51" s="17">
        <v>7428</v>
      </c>
      <c r="I51" s="10">
        <f t="shared" si="3"/>
        <v>0.16989768443726438</v>
      </c>
      <c r="J51" s="44">
        <v>0.7130578773064189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4035</v>
      </c>
      <c r="D52" s="17">
        <v>1531</v>
      </c>
      <c r="E52" s="10">
        <f t="shared" si="2"/>
        <v>1.6355323318092752</v>
      </c>
      <c r="F52" s="80">
        <v>2.4422453506227604</v>
      </c>
      <c r="G52" s="83">
        <v>8656</v>
      </c>
      <c r="H52" s="17">
        <v>5729</v>
      </c>
      <c r="I52" s="10">
        <f t="shared" si="3"/>
        <v>0.51090940827369513</v>
      </c>
      <c r="J52" s="44">
        <v>1.1551638283039538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1020</v>
      </c>
      <c r="D53" s="17">
        <v>539</v>
      </c>
      <c r="E53" s="10">
        <f t="shared" si="2"/>
        <v>0.89239332096474944</v>
      </c>
      <c r="F53" s="80">
        <v>3.5373665480427041</v>
      </c>
      <c r="G53" s="83">
        <v>2708</v>
      </c>
      <c r="H53" s="17">
        <v>2108</v>
      </c>
      <c r="I53" s="10">
        <f t="shared" si="3"/>
        <v>0.28462998102466797</v>
      </c>
      <c r="J53" s="44">
        <v>0.96830934728885021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1190</v>
      </c>
      <c r="D54" s="17">
        <v>666</v>
      </c>
      <c r="E54" s="10">
        <f t="shared" si="2"/>
        <v>0.78678678678678682</v>
      </c>
      <c r="F54" s="80">
        <v>3.0781357093899926</v>
      </c>
      <c r="G54" s="83">
        <v>3938</v>
      </c>
      <c r="H54" s="17">
        <v>3048</v>
      </c>
      <c r="I54" s="10">
        <f t="shared" si="3"/>
        <v>0.29199475065616798</v>
      </c>
      <c r="J54" s="44">
        <v>0.82856612184249645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5893</v>
      </c>
      <c r="D55" s="17">
        <v>5074</v>
      </c>
      <c r="E55" s="10">
        <f t="shared" si="2"/>
        <v>0.16141111549073717</v>
      </c>
      <c r="F55" s="80">
        <v>-0.40688030919119134</v>
      </c>
      <c r="G55" s="83">
        <v>16867</v>
      </c>
      <c r="H55" s="17">
        <v>15905</v>
      </c>
      <c r="I55" s="10">
        <f t="shared" si="3"/>
        <v>6.0484124489154301E-2</v>
      </c>
      <c r="J55" s="44">
        <v>-0.40290423528412234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4948</v>
      </c>
      <c r="D56" s="17">
        <v>2159</v>
      </c>
      <c r="E56" s="10">
        <f t="shared" si="2"/>
        <v>1.2918017600741085</v>
      </c>
      <c r="F56" s="80">
        <v>2.5985454545454547</v>
      </c>
      <c r="G56" s="83">
        <v>22037</v>
      </c>
      <c r="H56" s="17">
        <v>17684</v>
      </c>
      <c r="I56" s="10">
        <f t="shared" si="3"/>
        <v>0.246154716127573</v>
      </c>
      <c r="J56" s="44">
        <v>0.90902318167642671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1148</v>
      </c>
      <c r="D57" s="17">
        <v>947</v>
      </c>
      <c r="E57" s="10">
        <f t="shared" si="2"/>
        <v>0.21224920802534308</v>
      </c>
      <c r="F57" s="80">
        <v>1.2093918398768282</v>
      </c>
      <c r="G57" s="83">
        <v>3830</v>
      </c>
      <c r="H57" s="17">
        <v>2722</v>
      </c>
      <c r="I57" s="10">
        <f t="shared" si="3"/>
        <v>0.40705363703159447</v>
      </c>
      <c r="J57" s="44">
        <v>1.4271229404309254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3040</v>
      </c>
      <c r="D58" s="17">
        <v>3629</v>
      </c>
      <c r="E58" s="10">
        <f t="shared" si="2"/>
        <v>-0.16230366492146597</v>
      </c>
      <c r="F58" s="80">
        <v>0.19666194300110207</v>
      </c>
      <c r="G58" s="83">
        <v>9640</v>
      </c>
      <c r="H58" s="17">
        <v>9658</v>
      </c>
      <c r="I58" s="10">
        <f t="shared" si="3"/>
        <v>-1.863739904742201E-3</v>
      </c>
      <c r="J58" s="44">
        <v>0.27449165763240702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2728</v>
      </c>
      <c r="D59" s="17">
        <v>3087</v>
      </c>
      <c r="E59" s="10">
        <f t="shared" si="2"/>
        <v>-0.11629413670229993</v>
      </c>
      <c r="F59" s="80">
        <v>0.20857699805068242</v>
      </c>
      <c r="G59" s="83">
        <v>8691</v>
      </c>
      <c r="H59" s="17">
        <v>8212</v>
      </c>
      <c r="I59" s="10">
        <f t="shared" si="3"/>
        <v>5.8329274232830075E-2</v>
      </c>
      <c r="J59" s="44">
        <v>0.28291804440245638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983</v>
      </c>
      <c r="D60" s="17">
        <v>1430</v>
      </c>
      <c r="E60" s="10">
        <f t="shared" si="2"/>
        <v>-0.31258741258741263</v>
      </c>
      <c r="F60" s="80">
        <v>5.5237315875613646E-3</v>
      </c>
      <c r="G60" s="83">
        <v>5006</v>
      </c>
      <c r="H60" s="17">
        <v>4970</v>
      </c>
      <c r="I60" s="10">
        <f t="shared" si="3"/>
        <v>7.2434607645874838E-3</v>
      </c>
      <c r="J60" s="44">
        <v>3.5581299131154376E-2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2054</v>
      </c>
      <c r="D61" s="17">
        <v>1911</v>
      </c>
      <c r="E61" s="10">
        <f t="shared" si="2"/>
        <v>7.4829931972789199E-2</v>
      </c>
      <c r="F61" s="80">
        <v>1.1153450051493308</v>
      </c>
      <c r="G61" s="83">
        <v>7766</v>
      </c>
      <c r="H61" s="17">
        <v>6869</v>
      </c>
      <c r="I61" s="10">
        <f t="shared" si="3"/>
        <v>0.13058669384189847</v>
      </c>
      <c r="J61" s="44">
        <v>0.79602220166512483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994</v>
      </c>
      <c r="D62" s="17">
        <v>1189</v>
      </c>
      <c r="E62" s="10">
        <f t="shared" si="2"/>
        <v>-0.1640033641715728</v>
      </c>
      <c r="F62" s="80">
        <v>-9.9637681159420288E-2</v>
      </c>
      <c r="G62" s="83">
        <v>8208</v>
      </c>
      <c r="H62" s="17">
        <v>8838</v>
      </c>
      <c r="I62" s="10">
        <f t="shared" si="3"/>
        <v>-7.1283095723014278E-2</v>
      </c>
      <c r="J62" s="44">
        <v>1.6596700185493862E-3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1049</v>
      </c>
      <c r="D63" s="17">
        <v>867</v>
      </c>
      <c r="E63" s="10">
        <f t="shared" si="2"/>
        <v>0.20991926182237597</v>
      </c>
      <c r="F63" s="80">
        <v>1.2140143520472773</v>
      </c>
      <c r="G63" s="83">
        <v>6212</v>
      </c>
      <c r="H63" s="17">
        <v>4641</v>
      </c>
      <c r="I63" s="10">
        <f t="shared" si="3"/>
        <v>0.33850463262227959</v>
      </c>
      <c r="J63" s="44">
        <v>1.4504930966469427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217</v>
      </c>
      <c r="D66" s="17">
        <v>576</v>
      </c>
      <c r="E66" s="10">
        <f t="shared" si="2"/>
        <v>-0.62326388888888884</v>
      </c>
      <c r="F66" s="80">
        <v>-0.65434851863650834</v>
      </c>
      <c r="G66" s="83">
        <v>7605</v>
      </c>
      <c r="H66" s="17">
        <v>7314</v>
      </c>
      <c r="I66" s="10">
        <f t="shared" si="3"/>
        <v>3.9786710418375781E-2</v>
      </c>
      <c r="J66" s="44">
        <v>1.1238270777479893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6725</v>
      </c>
      <c r="D67" s="17">
        <v>6227</v>
      </c>
      <c r="E67" s="10">
        <f t="shared" si="2"/>
        <v>7.9974305444034055E-2</v>
      </c>
      <c r="F67" s="80">
        <v>0.42817703024125042</v>
      </c>
      <c r="G67" s="83">
        <v>24114</v>
      </c>
      <c r="H67" s="17">
        <v>20666</v>
      </c>
      <c r="I67" s="10">
        <f t="shared" si="3"/>
        <v>0.16684409174489501</v>
      </c>
      <c r="J67" s="44">
        <v>0.487104850944164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3513</v>
      </c>
      <c r="D68" s="17">
        <v>2668</v>
      </c>
      <c r="E68" s="10">
        <f t="shared" si="2"/>
        <v>0.31671664167916047</v>
      </c>
      <c r="F68" s="80">
        <v>0.86247481709256713</v>
      </c>
      <c r="G68" s="83">
        <v>13072</v>
      </c>
      <c r="H68" s="17">
        <v>12012</v>
      </c>
      <c r="I68" s="10">
        <f t="shared" si="3"/>
        <v>8.8245088245088255E-2</v>
      </c>
      <c r="J68" s="44">
        <v>0.55685770091944176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5954</v>
      </c>
      <c r="D69" s="17">
        <v>5718</v>
      </c>
      <c r="E69" s="10">
        <f t="shared" si="2"/>
        <v>4.1273172437915395E-2</v>
      </c>
      <c r="F69" s="80">
        <v>0.27113578138343297</v>
      </c>
      <c r="G69" s="83">
        <v>29096</v>
      </c>
      <c r="H69" s="17">
        <v>24013</v>
      </c>
      <c r="I69" s="10">
        <f t="shared" si="3"/>
        <v>0.21167700828717773</v>
      </c>
      <c r="J69" s="44">
        <v>0.1774036905147296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1951</v>
      </c>
      <c r="D70" s="17">
        <v>1649</v>
      </c>
      <c r="E70" s="10">
        <f t="shared" si="2"/>
        <v>0.1831412977562159</v>
      </c>
      <c r="F70" s="80">
        <v>1.6371992430386593</v>
      </c>
      <c r="G70" s="83">
        <v>9152</v>
      </c>
      <c r="H70" s="17">
        <v>7415</v>
      </c>
      <c r="I70" s="10">
        <f t="shared" si="3"/>
        <v>0.23425488873904254</v>
      </c>
      <c r="J70" s="44">
        <v>1.1847696347576986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729</v>
      </c>
      <c r="D71" s="17">
        <v>1188</v>
      </c>
      <c r="E71" s="10">
        <f t="shared" si="2"/>
        <v>-0.38636363636363635</v>
      </c>
      <c r="F71" s="80">
        <v>6.6413107080163902E-2</v>
      </c>
      <c r="G71" s="83">
        <v>3675</v>
      </c>
      <c r="H71" s="17">
        <v>4473</v>
      </c>
      <c r="I71" s="10">
        <f t="shared" si="3"/>
        <v>-0.17840375586854462</v>
      </c>
      <c r="J71" s="44">
        <v>0.4148764148764148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4189</v>
      </c>
      <c r="D72" s="17">
        <v>2694</v>
      </c>
      <c r="E72" s="10">
        <f t="shared" si="2"/>
        <v>0.55493689680772085</v>
      </c>
      <c r="F72" s="80">
        <v>1.3321456407972385</v>
      </c>
      <c r="G72" s="83">
        <v>19809</v>
      </c>
      <c r="H72" s="17">
        <v>14511</v>
      </c>
      <c r="I72" s="10">
        <f t="shared" si="3"/>
        <v>0.36510233615877619</v>
      </c>
      <c r="J72" s="44">
        <v>0.95416699550153905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636632</v>
      </c>
      <c r="D74" s="40">
        <v>622111</v>
      </c>
      <c r="E74" s="65">
        <f t="shared" si="2"/>
        <v>2.3341493720574036E-2</v>
      </c>
      <c r="F74" s="82">
        <v>0.20261335185080931</v>
      </c>
      <c r="G74" s="79">
        <v>2147866</v>
      </c>
      <c r="H74" s="40">
        <v>2182818</v>
      </c>
      <c r="I74" s="65">
        <f t="shared" si="3"/>
        <v>-1.6012329016894644E-2</v>
      </c>
      <c r="J74" s="66">
        <v>0.11022216580021205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VLOOKUP("&lt;T3Titel3&gt;",Uebersetzungen!$B$4:$E$315,Uebersetzungen!$B$2+1,FALSE)</f>
        <v>Hotel- und Kurbetriebe: Logiernächte im März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VLOOKUP("&lt;T3SpaltenTitel_1&gt;",Uebersetzungen!$B$4:$E$315,Uebersetzungen!$B$2+1,FALSE)</f>
        <v>März 2025</v>
      </c>
      <c r="D82" s="21" t="str">
        <f>VLOOKUP("&lt;T3SpaltenTitel_2&gt;",Uebersetzungen!$B$4:$E$315,Uebersetzungen!$B$2+1,FALSE)</f>
        <v>März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VLOOKUP("&lt;T3SpaltenTitel_5&gt;",Uebersetzungen!$B$4:$E$315,Uebersetzungen!$B$2+1,FALSE)</f>
        <v>Januar-März 25</v>
      </c>
      <c r="H82" s="22" t="str">
        <f>VLOOKUP("&lt;T3SpaltenTitel_6&gt;",Uebersetzungen!$B$4:$E$315,Uebersetzungen!$B$2+1,FALSE)</f>
        <v>Januar-März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92047</v>
      </c>
      <c r="D83" s="17">
        <v>86378</v>
      </c>
      <c r="E83" s="10">
        <f>C83/D83-1</f>
        <v>6.5630137303479996E-2</v>
      </c>
      <c r="F83" s="80">
        <v>0.42746592889886914</v>
      </c>
      <c r="G83" s="83">
        <v>241340</v>
      </c>
      <c r="H83" s="17">
        <v>230538</v>
      </c>
      <c r="I83" s="10">
        <f>G83/H83-1</f>
        <v>4.6855615993892652E-2</v>
      </c>
      <c r="J83" s="44">
        <v>0.34465936113358331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145779</v>
      </c>
      <c r="D84" s="17">
        <v>125813</v>
      </c>
      <c r="E84" s="10">
        <f t="shared" ref="E84:E96" si="4">C84/D84-1</f>
        <v>0.15869584224205768</v>
      </c>
      <c r="F84" s="80">
        <v>0.65747608933923352</v>
      </c>
      <c r="G84" s="83">
        <v>366100</v>
      </c>
      <c r="H84" s="17">
        <v>334267</v>
      </c>
      <c r="I84" s="10">
        <f t="shared" ref="I84:I96" si="5">G84/H84-1</f>
        <v>9.5232254455270837E-2</v>
      </c>
      <c r="J84" s="44">
        <v>0.49673914465507552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371486</v>
      </c>
      <c r="D85" s="17">
        <v>399796</v>
      </c>
      <c r="E85" s="10">
        <f t="shared" si="4"/>
        <v>-7.081111366797066E-2</v>
      </c>
      <c r="F85" s="80">
        <v>0.23396286080241491</v>
      </c>
      <c r="G85" s="83">
        <v>1186510</v>
      </c>
      <c r="H85" s="17">
        <v>1263548</v>
      </c>
      <c r="I85" s="10">
        <f t="shared" si="5"/>
        <v>-6.0969587225811805E-2</v>
      </c>
      <c r="J85" s="44">
        <v>0.14162935354976858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31580</v>
      </c>
      <c r="D86" s="17">
        <v>33925</v>
      </c>
      <c r="E86" s="10">
        <f t="shared" si="4"/>
        <v>-6.9123065585851129E-2</v>
      </c>
      <c r="F86" s="80">
        <v>0.30705428538317636</v>
      </c>
      <c r="G86" s="83">
        <v>89711</v>
      </c>
      <c r="H86" s="17">
        <v>93743</v>
      </c>
      <c r="I86" s="10">
        <f t="shared" si="5"/>
        <v>-4.3011211503792279E-2</v>
      </c>
      <c r="J86" s="44">
        <v>0.23151580045575604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290893</v>
      </c>
      <c r="D87" s="17">
        <v>282729</v>
      </c>
      <c r="E87" s="10">
        <f t="shared" si="4"/>
        <v>2.8875707833296183E-2</v>
      </c>
      <c r="F87" s="80">
        <v>0.51423487914980082</v>
      </c>
      <c r="G87" s="83">
        <v>821659</v>
      </c>
      <c r="H87" s="17">
        <v>775904</v>
      </c>
      <c r="I87" s="10">
        <f t="shared" si="5"/>
        <v>5.8969924114323335E-2</v>
      </c>
      <c r="J87" s="44">
        <v>0.51668622687154997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636632</v>
      </c>
      <c r="D88" s="62">
        <v>622111</v>
      </c>
      <c r="E88" s="63">
        <f t="shared" si="4"/>
        <v>2.3341493720574036E-2</v>
      </c>
      <c r="F88" s="85">
        <v>0.20261335185080931</v>
      </c>
      <c r="G88" s="87">
        <v>2147866</v>
      </c>
      <c r="H88" s="62">
        <v>2182818</v>
      </c>
      <c r="I88" s="63">
        <f t="shared" si="5"/>
        <v>-1.6012329016894644E-2</v>
      </c>
      <c r="J88" s="64">
        <v>0.11022216580021205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38227</v>
      </c>
      <c r="D89" s="17">
        <v>41288</v>
      </c>
      <c r="E89" s="10">
        <f t="shared" si="4"/>
        <v>-7.4137763999225004E-2</v>
      </c>
      <c r="F89" s="80">
        <v>0.21173986914845044</v>
      </c>
      <c r="G89" s="83">
        <v>99540</v>
      </c>
      <c r="H89" s="17">
        <v>101620</v>
      </c>
      <c r="I89" s="10">
        <f t="shared" si="5"/>
        <v>-2.0468411729974378E-2</v>
      </c>
      <c r="J89" s="44">
        <v>0.175539704284567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271355</v>
      </c>
      <c r="D90" s="17">
        <v>274295</v>
      </c>
      <c r="E90" s="10">
        <f t="shared" si="4"/>
        <v>-1.0718387137935381E-2</v>
      </c>
      <c r="F90" s="80">
        <v>0.34703593022447699</v>
      </c>
      <c r="G90" s="83">
        <v>765996</v>
      </c>
      <c r="H90" s="17">
        <v>762041</v>
      </c>
      <c r="I90" s="10">
        <f t="shared" si="5"/>
        <v>5.1900094614332204E-3</v>
      </c>
      <c r="J90" s="44">
        <v>0.23860109139759555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136379</v>
      </c>
      <c r="D91" s="17">
        <v>138392</v>
      </c>
      <c r="E91" s="10">
        <f t="shared" si="4"/>
        <v>-1.4545638476212486E-2</v>
      </c>
      <c r="F91" s="80">
        <v>0.18841137913546313</v>
      </c>
      <c r="G91" s="83">
        <v>393764</v>
      </c>
      <c r="H91" s="17">
        <v>399292</v>
      </c>
      <c r="I91" s="10">
        <f t="shared" si="5"/>
        <v>-1.3844504773449007E-2</v>
      </c>
      <c r="J91" s="44">
        <v>0.14830599174240611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128873</v>
      </c>
      <c r="D92" s="17">
        <v>135089</v>
      </c>
      <c r="E92" s="10">
        <f t="shared" si="4"/>
        <v>-4.6014109216886645E-2</v>
      </c>
      <c r="F92" s="80">
        <v>3.5881648433794933E-2</v>
      </c>
      <c r="G92" s="83">
        <v>265159</v>
      </c>
      <c r="H92" s="17">
        <v>272405</v>
      </c>
      <c r="I92" s="10">
        <f t="shared" si="5"/>
        <v>-2.6600099117123355E-2</v>
      </c>
      <c r="J92" s="44">
        <v>3.4946960524641524E-2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207352</v>
      </c>
      <c r="D93" s="17">
        <v>206783</v>
      </c>
      <c r="E93" s="10">
        <f t="shared" si="4"/>
        <v>2.7516768786601808E-3</v>
      </c>
      <c r="F93" s="80">
        <v>0.33318759604194659</v>
      </c>
      <c r="G93" s="83">
        <v>604930</v>
      </c>
      <c r="H93" s="17">
        <v>572979</v>
      </c>
      <c r="I93" s="10">
        <f t="shared" si="5"/>
        <v>5.5762951172730668E-2</v>
      </c>
      <c r="J93" s="44">
        <v>0.26753327083636269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471082</v>
      </c>
      <c r="D94" s="17">
        <v>475165</v>
      </c>
      <c r="E94" s="33">
        <f t="shared" si="4"/>
        <v>-8.592804604716231E-3</v>
      </c>
      <c r="F94" s="80">
        <v>0.22671598369663148</v>
      </c>
      <c r="G94" s="83">
        <v>1486104</v>
      </c>
      <c r="H94" s="17">
        <v>1516912</v>
      </c>
      <c r="I94" s="33">
        <f t="shared" si="5"/>
        <v>-2.0309681774552502E-2</v>
      </c>
      <c r="J94" s="44">
        <v>0.13105291678590336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537393</v>
      </c>
      <c r="D95" s="18">
        <v>515799</v>
      </c>
      <c r="E95" s="43">
        <f t="shared" si="4"/>
        <v>4.186514514374795E-2</v>
      </c>
      <c r="F95" s="11">
        <v>0.5898871916853794</v>
      </c>
      <c r="G95" s="84">
        <v>1446610</v>
      </c>
      <c r="H95" s="18">
        <v>1368386</v>
      </c>
      <c r="I95" s="43">
        <f t="shared" si="5"/>
        <v>5.7165156615165635E-2</v>
      </c>
      <c r="J95" s="48">
        <v>0.49679607561944428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3359078</v>
      </c>
      <c r="D96" s="40">
        <v>3337563</v>
      </c>
      <c r="E96" s="41">
        <f t="shared" si="4"/>
        <v>6.4463202642166539E-3</v>
      </c>
      <c r="F96" s="86">
        <v>0.31788324068869822</v>
      </c>
      <c r="G96" s="79">
        <v>9915289</v>
      </c>
      <c r="H96" s="40">
        <v>9874453</v>
      </c>
      <c r="I96" s="41">
        <f t="shared" si="5"/>
        <v>4.1355202156514448E-3</v>
      </c>
      <c r="J96" s="45">
        <v>0.2282843732269213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VLOOKUP("&lt;T3Aktualisierung&gt;",Uebersetzungen!$B$4:$E$315,Uebersetzungen!$B$2+1,FALSE)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VLOOKUP("&lt;T3Legende_3&gt;",Uebersetzungen!$B$4:$E$315,Uebersetzungen!$B$2+1,FALSE)</f>
        <v>Daten des April 2025 erscheinen am 5. Juni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900-000000000000}"/>
    <hyperlink ref="E76" location="Länder_Pajais_Paesi!A1" display="Länder / Pajais / Paese" xr:uid="{00000000-0004-0000-09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5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VLOOKUP("&lt;T2Titel1&gt;",Uebersetzungen!$B$4:$E$315,Uebersetzungen!$B$2+1,FALSE)</f>
        <v>Hotel- und Kurbetriebe: Logiernächte im Februar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VLOOKUP("&lt;T2SpaltenTitel_1&gt;",Uebersetzungen!$B$4:$E$315,Uebersetzungen!$B$2+1,FALSE)</f>
        <v>Februar 2025</v>
      </c>
      <c r="D12" s="21" t="str">
        <f>VLOOKUP("&lt;T2SpaltenTitel_2&gt;",Uebersetzungen!$B$4:$E$315,Uebersetzungen!$B$2+1,FALSE)</f>
        <v>Februar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VLOOKUP("&lt;T2SpaltenTitel_5&gt;",Uebersetzungen!$B$4:$E$315,Uebersetzungen!$B$2+1,FALSE)</f>
        <v>Januar-Februar 25</v>
      </c>
      <c r="H12" s="22" t="str">
        <f>VLOOKUP("&lt;T2SpaltenTitel_6&gt;",Uebersetzungen!$B$4:$E$315,Uebersetzungen!$B$2+1,FALSE)</f>
        <v>Januar-Februar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79106</v>
      </c>
      <c r="D13" s="52">
        <v>84507</v>
      </c>
      <c r="E13" s="53">
        <f t="shared" ref="E13:E31" si="0">C13/D13-1</f>
        <v>-6.3911865289265957E-2</v>
      </c>
      <c r="F13" s="72">
        <v>1.998029820878755E-2</v>
      </c>
      <c r="G13" s="76">
        <v>153765</v>
      </c>
      <c r="H13" s="52">
        <v>157519</v>
      </c>
      <c r="I13" s="53">
        <f t="shared" ref="I13:I31" si="1">G13/H13-1</f>
        <v>-2.3832045657984136E-2</v>
      </c>
      <c r="J13" s="54">
        <v>0.10998098598564643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8057</v>
      </c>
      <c r="D14" s="52">
        <v>8385</v>
      </c>
      <c r="E14" s="53">
        <f t="shared" si="0"/>
        <v>-3.9117471675611193E-2</v>
      </c>
      <c r="F14" s="72">
        <v>-9.9494814020028688E-2</v>
      </c>
      <c r="G14" s="76">
        <v>15658</v>
      </c>
      <c r="H14" s="52">
        <v>15613</v>
      </c>
      <c r="I14" s="53">
        <f t="shared" si="1"/>
        <v>2.8822135399986237E-3</v>
      </c>
      <c r="J14" s="54">
        <v>-2.6510158911740689E-2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5058</v>
      </c>
      <c r="D15" s="52">
        <v>6692</v>
      </c>
      <c r="E15" s="53">
        <f t="shared" si="0"/>
        <v>-0.24417214584578606</v>
      </c>
      <c r="F15" s="72">
        <v>-0.20594053188483152</v>
      </c>
      <c r="G15" s="76">
        <v>9621</v>
      </c>
      <c r="H15" s="52">
        <v>11813</v>
      </c>
      <c r="I15" s="53">
        <f t="shared" si="1"/>
        <v>-0.18555828324726997</v>
      </c>
      <c r="J15" s="54">
        <v>-9.5923621943656112E-2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4161</v>
      </c>
      <c r="D16" s="52">
        <v>3922</v>
      </c>
      <c r="E16" s="53">
        <f t="shared" si="0"/>
        <v>6.0938296787353297E-2</v>
      </c>
      <c r="F16" s="72">
        <v>0.26075627196703421</v>
      </c>
      <c r="G16" s="76">
        <v>7870</v>
      </c>
      <c r="H16" s="52">
        <v>8038</v>
      </c>
      <c r="I16" s="53">
        <f t="shared" si="1"/>
        <v>-2.0900721572530534E-2</v>
      </c>
      <c r="J16" s="54">
        <v>0.29181576442007806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20789</v>
      </c>
      <c r="D17" s="52">
        <v>19858</v>
      </c>
      <c r="E17" s="53">
        <f t="shared" si="0"/>
        <v>4.6882868365394348E-2</v>
      </c>
      <c r="F17" s="72">
        <v>0.35311576563089875</v>
      </c>
      <c r="G17" s="76">
        <v>39701</v>
      </c>
      <c r="H17" s="52">
        <v>37545</v>
      </c>
      <c r="I17" s="53">
        <f t="shared" si="1"/>
        <v>5.7424424024503873E-2</v>
      </c>
      <c r="J17" s="54">
        <v>0.40956634736236652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135861</v>
      </c>
      <c r="D18" s="52">
        <v>150124</v>
      </c>
      <c r="E18" s="53">
        <f t="shared" si="0"/>
        <v>-9.5008126615331312E-2</v>
      </c>
      <c r="F18" s="72">
        <v>-0.1048679119975543</v>
      </c>
      <c r="G18" s="76">
        <v>259396</v>
      </c>
      <c r="H18" s="52">
        <v>283995</v>
      </c>
      <c r="I18" s="53">
        <f t="shared" si="1"/>
        <v>-8.6617722142995457E-2</v>
      </c>
      <c r="J18" s="54">
        <v>-1.9436919789912799E-2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24119</v>
      </c>
      <c r="D19" s="52">
        <v>29738</v>
      </c>
      <c r="E19" s="53">
        <f t="shared" si="0"/>
        <v>-0.18895016477234516</v>
      </c>
      <c r="F19" s="72">
        <v>-1.7003447966677854E-2</v>
      </c>
      <c r="G19" s="76">
        <v>40978</v>
      </c>
      <c r="H19" s="52">
        <v>48746</v>
      </c>
      <c r="I19" s="53">
        <f t="shared" si="1"/>
        <v>-0.15935666516226976</v>
      </c>
      <c r="J19" s="54">
        <v>4.7880610449654304E-2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75926</v>
      </c>
      <c r="D20" s="52">
        <v>80613</v>
      </c>
      <c r="E20" s="53">
        <f t="shared" si="0"/>
        <v>-5.8141987024425301E-2</v>
      </c>
      <c r="F20" s="72">
        <v>1.8610441810171352E-2</v>
      </c>
      <c r="G20" s="76">
        <v>144645</v>
      </c>
      <c r="H20" s="52">
        <v>144940</v>
      </c>
      <c r="I20" s="53">
        <f t="shared" si="1"/>
        <v>-2.0353249620532754E-3</v>
      </c>
      <c r="J20" s="54">
        <v>0.11861693489138259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239837</v>
      </c>
      <c r="D21" s="52">
        <v>249182</v>
      </c>
      <c r="E21" s="53">
        <f t="shared" si="0"/>
        <v>-3.7502708863401013E-2</v>
      </c>
      <c r="F21" s="72">
        <v>7.3187429803875936E-2</v>
      </c>
      <c r="G21" s="76">
        <v>472245</v>
      </c>
      <c r="H21" s="52">
        <v>471190</v>
      </c>
      <c r="I21" s="53">
        <f t="shared" si="1"/>
        <v>2.2390118635795542E-3</v>
      </c>
      <c r="J21" s="54">
        <v>0.15157776969273695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74904</v>
      </c>
      <c r="D22" s="52">
        <v>80085</v>
      </c>
      <c r="E22" s="53">
        <f t="shared" si="0"/>
        <v>-6.4693762876943284E-2</v>
      </c>
      <c r="F22" s="72">
        <v>-8.8020220762807799E-2</v>
      </c>
      <c r="G22" s="76">
        <v>143462</v>
      </c>
      <c r="H22" s="52">
        <v>147671</v>
      </c>
      <c r="I22" s="53">
        <f t="shared" si="1"/>
        <v>-2.8502549586580939E-2</v>
      </c>
      <c r="J22" s="54">
        <v>-2.52231709090317E-2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47458</v>
      </c>
      <c r="D23" s="52">
        <v>54198</v>
      </c>
      <c r="E23" s="53">
        <f t="shared" si="0"/>
        <v>-0.12435883242924095</v>
      </c>
      <c r="F23" s="72">
        <v>-0.13829605662138256</v>
      </c>
      <c r="G23" s="76">
        <v>93232</v>
      </c>
      <c r="H23" s="52">
        <v>103342</v>
      </c>
      <c r="I23" s="53">
        <f t="shared" si="1"/>
        <v>-9.7830504538329088E-2</v>
      </c>
      <c r="J23" s="54">
        <v>-5.8237893116384831E-2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13599</v>
      </c>
      <c r="D24" s="52">
        <v>13119</v>
      </c>
      <c r="E24" s="53">
        <f t="shared" si="0"/>
        <v>3.6588154584953125E-2</v>
      </c>
      <c r="F24" s="72">
        <v>0.25424260311370173</v>
      </c>
      <c r="G24" s="76">
        <v>22816</v>
      </c>
      <c r="H24" s="52">
        <v>23274</v>
      </c>
      <c r="I24" s="53">
        <f t="shared" si="1"/>
        <v>-1.9678611325943063E-2</v>
      </c>
      <c r="J24" s="54">
        <v>0.19588234060842402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4077</v>
      </c>
      <c r="D25" s="52">
        <v>2834</v>
      </c>
      <c r="E25" s="53">
        <f t="shared" si="0"/>
        <v>0.43860268172194772</v>
      </c>
      <c r="F25" s="72">
        <v>0.53098009763424714</v>
      </c>
      <c r="G25" s="76">
        <v>7511</v>
      </c>
      <c r="H25" s="52">
        <v>4923</v>
      </c>
      <c r="I25" s="53">
        <f t="shared" si="1"/>
        <v>0.52569571399553117</v>
      </c>
      <c r="J25" s="54">
        <v>0.58246249789314009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15896</v>
      </c>
      <c r="D26" s="52">
        <v>15324</v>
      </c>
      <c r="E26" s="53">
        <f t="shared" si="0"/>
        <v>3.7327068650482964E-2</v>
      </c>
      <c r="F26" s="72">
        <v>0.12356691499738481</v>
      </c>
      <c r="G26" s="76">
        <v>29011</v>
      </c>
      <c r="H26" s="52">
        <v>28428</v>
      </c>
      <c r="I26" s="53">
        <f t="shared" si="1"/>
        <v>2.0507949908540768E-2</v>
      </c>
      <c r="J26" s="54">
        <v>0.22043666652643967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1">
        <v>17158</v>
      </c>
      <c r="D27" s="52">
        <v>17149</v>
      </c>
      <c r="E27" s="53">
        <f t="shared" si="0"/>
        <v>5.2481194238729323E-4</v>
      </c>
      <c r="F27" s="72">
        <v>-4.566438622837754E-2</v>
      </c>
      <c r="G27" s="76">
        <v>31086</v>
      </c>
      <c r="H27" s="52">
        <v>30938</v>
      </c>
      <c r="I27" s="53">
        <f t="shared" si="1"/>
        <v>4.7837610705281364E-3</v>
      </c>
      <c r="J27" s="54">
        <v>1.9126238419020059E-2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4094</v>
      </c>
      <c r="D28" s="52">
        <v>3660</v>
      </c>
      <c r="E28" s="53">
        <f t="shared" si="0"/>
        <v>0.11857923497267753</v>
      </c>
      <c r="F28" s="72">
        <v>0.44981939230823698</v>
      </c>
      <c r="G28" s="76">
        <v>7712</v>
      </c>
      <c r="H28" s="52">
        <v>6518</v>
      </c>
      <c r="I28" s="53">
        <f t="shared" si="1"/>
        <v>0.18318502608162013</v>
      </c>
      <c r="J28" s="54">
        <v>0.54332599559735839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1">
        <v>8784</v>
      </c>
      <c r="D29" s="52">
        <v>9516</v>
      </c>
      <c r="E29" s="53">
        <f t="shared" si="0"/>
        <v>-7.6923076923076872E-2</v>
      </c>
      <c r="F29" s="72">
        <v>-7.1655041217501547E-2</v>
      </c>
      <c r="G29" s="76">
        <v>16192</v>
      </c>
      <c r="H29" s="52">
        <v>17178</v>
      </c>
      <c r="I29" s="53">
        <f t="shared" si="1"/>
        <v>-5.7398998719292105E-2</v>
      </c>
      <c r="J29" s="54">
        <v>-2.6045112781954871E-2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9561</v>
      </c>
      <c r="D30" s="57">
        <v>11434</v>
      </c>
      <c r="E30" s="53">
        <f t="shared" si="0"/>
        <v>-0.16380969039706139</v>
      </c>
      <c r="F30" s="73">
        <v>-8.8508398955135625E-2</v>
      </c>
      <c r="G30" s="78">
        <v>16333</v>
      </c>
      <c r="H30" s="57">
        <v>19036</v>
      </c>
      <c r="I30" s="53">
        <f t="shared" si="1"/>
        <v>-0.14199411641101067</v>
      </c>
      <c r="J30" s="58">
        <v>-2.8503110836178513E-2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788445</v>
      </c>
      <c r="D31" s="19">
        <v>840340</v>
      </c>
      <c r="E31" s="12">
        <f t="shared" si="0"/>
        <v>-6.1754765928076716E-2</v>
      </c>
      <c r="F31" s="74">
        <v>-3.8428951292416302E-3</v>
      </c>
      <c r="G31" s="79">
        <v>1511234</v>
      </c>
      <c r="H31" s="19">
        <v>1560707</v>
      </c>
      <c r="I31" s="12">
        <f t="shared" si="1"/>
        <v>-3.1699095345891326E-2</v>
      </c>
      <c r="J31" s="47">
        <v>7.5417430052117318E-2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VLOOKUP("&lt;T2Titel2&gt;",Uebersetzungen!$B$4:$E$315,Uebersetzungen!$B$2+1,FALSE)</f>
        <v>Hotel- und Kurbetriebe: Logiernächte im Februar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VLOOKUP("&lt;T2SpaltenTitel_1&gt;",Uebersetzungen!$B$4:$E$315,Uebersetzungen!$B$2+1,FALSE)</f>
        <v>Februar 2025</v>
      </c>
      <c r="D39" s="21" t="str">
        <f>VLOOKUP("&lt;T2SpaltenTitel_2&gt;",Uebersetzungen!$B$4:$E$315,Uebersetzungen!$B$2+1,FALSE)</f>
        <v>Februar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VLOOKUP("&lt;T2SpaltenTitel_5&gt;",Uebersetzungen!$B$4:$E$315,Uebersetzungen!$B$2+1,FALSE)</f>
        <v>Januar-Februar 25</v>
      </c>
      <c r="H39" s="22" t="str">
        <f>VLOOKUP("&lt;T2SpaltenTitel_6&gt;",Uebersetzungen!$B$4:$E$315,Uebersetzungen!$B$2+1,FALSE)</f>
        <v>Januar-Februar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506262</v>
      </c>
      <c r="D40" s="17">
        <v>543952</v>
      </c>
      <c r="E40" s="10">
        <f>C40/D40-1</f>
        <v>-6.9289201988410709E-2</v>
      </c>
      <c r="F40" s="80">
        <v>-8.23140690018207E-2</v>
      </c>
      <c r="G40" s="83">
        <v>952960</v>
      </c>
      <c r="H40" s="17">
        <v>992987</v>
      </c>
      <c r="I40" s="10">
        <f>G40/H40-1</f>
        <v>-4.0309691869077846E-2</v>
      </c>
      <c r="J40" s="44">
        <v>2.8358399318422212E-3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87066</v>
      </c>
      <c r="D41" s="17">
        <v>117412</v>
      </c>
      <c r="E41" s="10">
        <f t="shared" ref="E41:E74" si="2">C41/D41-1</f>
        <v>-0.25845739788096622</v>
      </c>
      <c r="F41" s="80">
        <v>-8.1597778940439847E-2</v>
      </c>
      <c r="G41" s="83">
        <v>183133</v>
      </c>
      <c r="H41" s="17">
        <v>222071</v>
      </c>
      <c r="I41" s="10">
        <f t="shared" ref="I41:I74" si="3">G41/H41-1</f>
        <v>-0.17534031908713876</v>
      </c>
      <c r="J41" s="44">
        <v>2.5108677764131837E-2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19148</v>
      </c>
      <c r="D42" s="17">
        <v>14820</v>
      </c>
      <c r="E42" s="10">
        <f t="shared" si="2"/>
        <v>0.29203778677462888</v>
      </c>
      <c r="F42" s="80">
        <v>1.108485475807695</v>
      </c>
      <c r="G42" s="83">
        <v>42916</v>
      </c>
      <c r="H42" s="17">
        <v>35534</v>
      </c>
      <c r="I42" s="10">
        <f t="shared" si="3"/>
        <v>0.20774469522147809</v>
      </c>
      <c r="J42" s="44">
        <v>0.93564682428714452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34772</v>
      </c>
      <c r="D43" s="17">
        <v>34722</v>
      </c>
      <c r="E43" s="10">
        <f t="shared" si="2"/>
        <v>1.4400092160589129E-3</v>
      </c>
      <c r="F43" s="80">
        <v>0.24669252887986981</v>
      </c>
      <c r="G43" s="83">
        <v>57811</v>
      </c>
      <c r="H43" s="17">
        <v>55150</v>
      </c>
      <c r="I43" s="10">
        <f t="shared" si="3"/>
        <v>4.8250226654578343E-2</v>
      </c>
      <c r="J43" s="44">
        <v>0.305106555896695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7751</v>
      </c>
      <c r="D44" s="17">
        <v>12515</v>
      </c>
      <c r="E44" s="10">
        <f t="shared" si="2"/>
        <v>-0.38066320415501398</v>
      </c>
      <c r="F44" s="80">
        <v>-0.27146777953229573</v>
      </c>
      <c r="G44" s="83">
        <v>12451</v>
      </c>
      <c r="H44" s="17">
        <v>18650</v>
      </c>
      <c r="I44" s="10">
        <f t="shared" si="3"/>
        <v>-0.33238605898123319</v>
      </c>
      <c r="J44" s="44">
        <v>-0.21409094352008484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18845</v>
      </c>
      <c r="D45" s="17">
        <v>18836</v>
      </c>
      <c r="E45" s="10">
        <f t="shared" si="2"/>
        <v>4.7780845190059651E-4</v>
      </c>
      <c r="F45" s="80">
        <v>0.32388686721088056</v>
      </c>
      <c r="G45" s="83">
        <v>28914</v>
      </c>
      <c r="H45" s="17">
        <v>29683</v>
      </c>
      <c r="I45" s="10">
        <f t="shared" si="3"/>
        <v>-2.5907084863389773E-2</v>
      </c>
      <c r="J45" s="44">
        <v>0.24635757021914917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5969</v>
      </c>
      <c r="D46" s="17">
        <v>4750</v>
      </c>
      <c r="E46" s="10">
        <f t="shared" si="2"/>
        <v>0.25663157894736832</v>
      </c>
      <c r="F46" s="80">
        <v>0.41385191150694012</v>
      </c>
      <c r="G46" s="83">
        <v>9926</v>
      </c>
      <c r="H46" s="17">
        <v>8815</v>
      </c>
      <c r="I46" s="10">
        <f t="shared" si="3"/>
        <v>0.12603516732841746</v>
      </c>
      <c r="J46" s="44">
        <v>0.26307484793729152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14271</v>
      </c>
      <c r="D47" s="17">
        <v>15273</v>
      </c>
      <c r="E47" s="10">
        <f t="shared" si="2"/>
        <v>-6.5605971321940681E-2</v>
      </c>
      <c r="F47" s="80">
        <v>0.25446106784339229</v>
      </c>
      <c r="G47" s="83">
        <v>29608</v>
      </c>
      <c r="H47" s="17">
        <v>30363</v>
      </c>
      <c r="I47" s="10">
        <f t="shared" si="3"/>
        <v>-2.4865790600401838E-2</v>
      </c>
      <c r="J47" s="44">
        <v>0.27364861958307896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13891</v>
      </c>
      <c r="D48" s="17">
        <v>10525</v>
      </c>
      <c r="E48" s="10">
        <f t="shared" si="2"/>
        <v>0.31980997624703078</v>
      </c>
      <c r="F48" s="80">
        <v>0.35265935692445516</v>
      </c>
      <c r="G48" s="83">
        <v>22129</v>
      </c>
      <c r="H48" s="17">
        <v>18054</v>
      </c>
      <c r="I48" s="10">
        <f t="shared" si="3"/>
        <v>0.22571175362800489</v>
      </c>
      <c r="J48" s="44">
        <v>0.38973321945337625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2051</v>
      </c>
      <c r="D49" s="17">
        <v>1762</v>
      </c>
      <c r="E49" s="10">
        <f t="shared" si="2"/>
        <v>0.16401816118047674</v>
      </c>
      <c r="F49" s="80">
        <v>0.81279830298744904</v>
      </c>
      <c r="G49" s="83">
        <v>7598</v>
      </c>
      <c r="H49" s="17">
        <v>8072</v>
      </c>
      <c r="I49" s="10">
        <f t="shared" si="3"/>
        <v>-5.8721506442021787E-2</v>
      </c>
      <c r="J49" s="44">
        <v>0.69620931374737705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326</v>
      </c>
      <c r="D50" s="17">
        <v>377</v>
      </c>
      <c r="E50" s="10">
        <f t="shared" si="2"/>
        <v>-0.13527851458885942</v>
      </c>
      <c r="F50" s="80">
        <v>1.2451790633608817</v>
      </c>
      <c r="G50" s="83">
        <v>635</v>
      </c>
      <c r="H50" s="17">
        <v>572</v>
      </c>
      <c r="I50" s="10">
        <f t="shared" si="3"/>
        <v>0.11013986013986021</v>
      </c>
      <c r="J50" s="44">
        <v>1.2454031117397459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2787</v>
      </c>
      <c r="D51" s="17">
        <v>2203</v>
      </c>
      <c r="E51" s="10">
        <f t="shared" si="2"/>
        <v>0.26509305492510205</v>
      </c>
      <c r="F51" s="80">
        <v>0.73256247668780317</v>
      </c>
      <c r="G51" s="83">
        <v>5431</v>
      </c>
      <c r="H51" s="17">
        <v>3717</v>
      </c>
      <c r="I51" s="10">
        <f t="shared" si="3"/>
        <v>0.461124562819478</v>
      </c>
      <c r="J51" s="44">
        <v>0.78569080028934057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2434</v>
      </c>
      <c r="D52" s="17">
        <v>1856</v>
      </c>
      <c r="E52" s="10">
        <f t="shared" si="2"/>
        <v>0.31142241379310343</v>
      </c>
      <c r="F52" s="80">
        <v>1.0320587744197698</v>
      </c>
      <c r="G52" s="83">
        <v>4621</v>
      </c>
      <c r="H52" s="17">
        <v>4198</v>
      </c>
      <c r="I52" s="10">
        <f t="shared" si="3"/>
        <v>0.10076226774654606</v>
      </c>
      <c r="J52" s="44">
        <v>0.62470993601012603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586</v>
      </c>
      <c r="D53" s="17">
        <v>606</v>
      </c>
      <c r="E53" s="10">
        <f t="shared" si="2"/>
        <v>-3.3003300330032959E-2</v>
      </c>
      <c r="F53" s="80">
        <v>0.61432506887052352</v>
      </c>
      <c r="G53" s="83">
        <v>1688</v>
      </c>
      <c r="H53" s="17">
        <v>1569</v>
      </c>
      <c r="I53" s="10">
        <f t="shared" si="3"/>
        <v>7.5844486934353084E-2</v>
      </c>
      <c r="J53" s="44">
        <v>0.46655082536924408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853</v>
      </c>
      <c r="D54" s="17">
        <v>973</v>
      </c>
      <c r="E54" s="10">
        <f t="shared" si="2"/>
        <v>-0.12332990750256934</v>
      </c>
      <c r="F54" s="80">
        <v>0.4737387698686939</v>
      </c>
      <c r="G54" s="83">
        <v>2748</v>
      </c>
      <c r="H54" s="17">
        <v>2382</v>
      </c>
      <c r="I54" s="10">
        <f t="shared" si="3"/>
        <v>0.1536523929471032</v>
      </c>
      <c r="J54" s="44">
        <v>0.47599097647437971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6234</v>
      </c>
      <c r="D55" s="17">
        <v>4314</v>
      </c>
      <c r="E55" s="10">
        <f t="shared" si="2"/>
        <v>0.44506258692628653</v>
      </c>
      <c r="F55" s="80">
        <v>-0.23981172109357851</v>
      </c>
      <c r="G55" s="83">
        <v>10974</v>
      </c>
      <c r="H55" s="17">
        <v>10831</v>
      </c>
      <c r="I55" s="10">
        <f t="shared" si="3"/>
        <v>1.3202843689410049E-2</v>
      </c>
      <c r="J55" s="44">
        <v>-0.40074701847887828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4679</v>
      </c>
      <c r="D56" s="17">
        <v>4628</v>
      </c>
      <c r="E56" s="10">
        <f t="shared" si="2"/>
        <v>1.1019878997407195E-2</v>
      </c>
      <c r="F56" s="80">
        <v>0.30030013339261896</v>
      </c>
      <c r="G56" s="83">
        <v>17089</v>
      </c>
      <c r="H56" s="17">
        <v>15525</v>
      </c>
      <c r="I56" s="10">
        <f t="shared" si="3"/>
        <v>0.1007407407407408</v>
      </c>
      <c r="J56" s="44">
        <v>0.68056566292311627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731</v>
      </c>
      <c r="D57" s="17">
        <v>510</v>
      </c>
      <c r="E57" s="10">
        <f t="shared" si="2"/>
        <v>0.43333333333333335</v>
      </c>
      <c r="F57" s="80">
        <v>0.99617695248498084</v>
      </c>
      <c r="G57" s="83">
        <v>2682</v>
      </c>
      <c r="H57" s="17">
        <v>1775</v>
      </c>
      <c r="I57" s="10">
        <f t="shared" si="3"/>
        <v>0.51098591549295769</v>
      </c>
      <c r="J57" s="44">
        <v>1.5340136054421767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4236</v>
      </c>
      <c r="D58" s="17">
        <v>3688</v>
      </c>
      <c r="E58" s="10">
        <f t="shared" si="2"/>
        <v>0.14859002169197399</v>
      </c>
      <c r="F58" s="80">
        <v>0.65030388031790554</v>
      </c>
      <c r="G58" s="83">
        <v>6600</v>
      </c>
      <c r="H58" s="17">
        <v>6029</v>
      </c>
      <c r="I58" s="10">
        <f t="shared" si="3"/>
        <v>9.4708906949742877E-2</v>
      </c>
      <c r="J58" s="44">
        <v>0.31385117649400818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3834</v>
      </c>
      <c r="D59" s="17">
        <v>3015</v>
      </c>
      <c r="E59" s="10">
        <f t="shared" si="2"/>
        <v>0.27164179104477615</v>
      </c>
      <c r="F59" s="80">
        <v>0.34177923986841185</v>
      </c>
      <c r="G59" s="83">
        <v>5963</v>
      </c>
      <c r="H59" s="17">
        <v>5125</v>
      </c>
      <c r="I59" s="10">
        <f t="shared" si="3"/>
        <v>0.16351219512195114</v>
      </c>
      <c r="J59" s="44">
        <v>0.32006552731780746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2846</v>
      </c>
      <c r="D60" s="17">
        <v>2455</v>
      </c>
      <c r="E60" s="10">
        <f t="shared" si="2"/>
        <v>0.15926680244399183</v>
      </c>
      <c r="F60" s="80">
        <v>-1.4406427483030892E-2</v>
      </c>
      <c r="G60" s="83">
        <v>4023</v>
      </c>
      <c r="H60" s="17">
        <v>3540</v>
      </c>
      <c r="I60" s="10">
        <f t="shared" si="3"/>
        <v>0.1364406779661016</v>
      </c>
      <c r="J60" s="44">
        <v>4.3200912768385225E-2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2701</v>
      </c>
      <c r="D61" s="17">
        <v>2221</v>
      </c>
      <c r="E61" s="10">
        <f t="shared" si="2"/>
        <v>0.2161188653759567</v>
      </c>
      <c r="F61" s="80">
        <v>0.69278014539984967</v>
      </c>
      <c r="G61" s="83">
        <v>5712</v>
      </c>
      <c r="H61" s="17">
        <v>4958</v>
      </c>
      <c r="I61" s="10">
        <f t="shared" si="3"/>
        <v>0.15207745058491318</v>
      </c>
      <c r="J61" s="44">
        <v>0.70354906054279742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4737</v>
      </c>
      <c r="D62" s="17">
        <v>4648</v>
      </c>
      <c r="E62" s="10">
        <f t="shared" si="2"/>
        <v>1.914802065404464E-2</v>
      </c>
      <c r="F62" s="80">
        <v>-3.9576659502858713E-2</v>
      </c>
      <c r="G62" s="83">
        <v>7214</v>
      </c>
      <c r="H62" s="17">
        <v>7649</v>
      </c>
      <c r="I62" s="10">
        <f t="shared" si="3"/>
        <v>-5.6870179108380214E-2</v>
      </c>
      <c r="J62" s="44">
        <v>1.7432020760465017E-2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2706</v>
      </c>
      <c r="D63" s="17">
        <v>2178</v>
      </c>
      <c r="E63" s="10">
        <f t="shared" si="2"/>
        <v>0.24242424242424243</v>
      </c>
      <c r="F63" s="80">
        <v>1.3159876754536115</v>
      </c>
      <c r="G63" s="83">
        <v>5163</v>
      </c>
      <c r="H63" s="17">
        <v>3774</v>
      </c>
      <c r="I63" s="10">
        <f t="shared" si="3"/>
        <v>0.36804451510333869</v>
      </c>
      <c r="J63" s="44">
        <v>1.5048515427906075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3330</v>
      </c>
      <c r="D66" s="17">
        <v>3644</v>
      </c>
      <c r="E66" s="10">
        <f t="shared" si="2"/>
        <v>-8.6169045005488498E-2</v>
      </c>
      <c r="F66" s="80">
        <v>1.2454484153742413</v>
      </c>
      <c r="G66" s="83">
        <v>7388</v>
      </c>
      <c r="H66" s="17">
        <v>6738</v>
      </c>
      <c r="I66" s="10">
        <f t="shared" si="3"/>
        <v>9.6467794597803413E-2</v>
      </c>
      <c r="J66" s="44">
        <v>1.5018625126989504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10080</v>
      </c>
      <c r="D67" s="17">
        <v>7968</v>
      </c>
      <c r="E67" s="10">
        <f t="shared" si="2"/>
        <v>0.26506024096385539</v>
      </c>
      <c r="F67" s="80">
        <v>0.48322542672160096</v>
      </c>
      <c r="G67" s="83">
        <v>17389</v>
      </c>
      <c r="H67" s="17">
        <v>14439</v>
      </c>
      <c r="I67" s="10">
        <f t="shared" si="3"/>
        <v>0.20430777754692153</v>
      </c>
      <c r="J67" s="44">
        <v>0.51121964785427498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3194</v>
      </c>
      <c r="D68" s="17">
        <v>3714</v>
      </c>
      <c r="E68" s="10">
        <f t="shared" si="2"/>
        <v>-0.14001077005923535</v>
      </c>
      <c r="F68" s="80">
        <v>0.35098553421876333</v>
      </c>
      <c r="G68" s="83">
        <v>9559</v>
      </c>
      <c r="H68" s="17">
        <v>9344</v>
      </c>
      <c r="I68" s="10">
        <f t="shared" si="3"/>
        <v>2.300941780821919E-2</v>
      </c>
      <c r="J68" s="44">
        <v>0.46831126539891255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12004</v>
      </c>
      <c r="D69" s="17">
        <v>8086</v>
      </c>
      <c r="E69" s="10">
        <f t="shared" si="2"/>
        <v>0.48454118229037846</v>
      </c>
      <c r="F69" s="80">
        <v>0.53206044517051265</v>
      </c>
      <c r="G69" s="83">
        <v>23142</v>
      </c>
      <c r="H69" s="17">
        <v>18295</v>
      </c>
      <c r="I69" s="10">
        <f t="shared" si="3"/>
        <v>0.26493577480185837</v>
      </c>
      <c r="J69" s="44">
        <v>0.1554823247453565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2538</v>
      </c>
      <c r="D70" s="17">
        <v>2285</v>
      </c>
      <c r="E70" s="10">
        <f t="shared" si="2"/>
        <v>0.11072210065645516</v>
      </c>
      <c r="F70" s="80">
        <v>1.168118913377755</v>
      </c>
      <c r="G70" s="83">
        <v>7201</v>
      </c>
      <c r="H70" s="17">
        <v>5766</v>
      </c>
      <c r="I70" s="10">
        <f t="shared" si="3"/>
        <v>0.24887270204647938</v>
      </c>
      <c r="J70" s="44">
        <v>1.0877304882291545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961</v>
      </c>
      <c r="D71" s="17">
        <v>803</v>
      </c>
      <c r="E71" s="10">
        <f t="shared" si="2"/>
        <v>0.19676214196762132</v>
      </c>
      <c r="F71" s="80">
        <v>0.67305013927576618</v>
      </c>
      <c r="G71" s="83">
        <v>2946</v>
      </c>
      <c r="H71" s="17">
        <v>3285</v>
      </c>
      <c r="I71" s="10">
        <f t="shared" si="3"/>
        <v>-0.10319634703196345</v>
      </c>
      <c r="J71" s="44">
        <v>0.53934580415926425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6622</v>
      </c>
      <c r="D72" s="17">
        <v>5601</v>
      </c>
      <c r="E72" s="10">
        <f t="shared" si="2"/>
        <v>0.18228887698625251</v>
      </c>
      <c r="F72" s="80">
        <v>0.70793356030124843</v>
      </c>
      <c r="G72" s="83">
        <v>15620</v>
      </c>
      <c r="H72" s="17">
        <v>11817</v>
      </c>
      <c r="I72" s="10">
        <f t="shared" si="3"/>
        <v>0.32182449014132186</v>
      </c>
      <c r="J72" s="44">
        <v>0.87276694722202275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46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788445</v>
      </c>
      <c r="D74" s="40">
        <v>840340</v>
      </c>
      <c r="E74" s="65">
        <f t="shared" si="2"/>
        <v>-6.1754765928076716E-2</v>
      </c>
      <c r="F74" s="82">
        <v>-3.8428951292416302E-3</v>
      </c>
      <c r="G74" s="79">
        <v>1511234</v>
      </c>
      <c r="H74" s="40">
        <v>1560707</v>
      </c>
      <c r="I74" s="65">
        <f t="shared" si="3"/>
        <v>-3.1699095345891326E-2</v>
      </c>
      <c r="J74" s="66">
        <v>7.5417430052117318E-2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VLOOKUP("&lt;T2Titel3&gt;",Uebersetzungen!$B$4:$E$315,Uebersetzungen!$B$2+1,FALSE)</f>
        <v>Hotel- und Kurbetriebe: Logiernächte im Februar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VLOOKUP("&lt;T2SpaltenTitel_1&gt;",Uebersetzungen!$B$4:$E$315,Uebersetzungen!$B$2+1,FALSE)</f>
        <v>Februar 2025</v>
      </c>
      <c r="D82" s="21" t="str">
        <f>VLOOKUP("&lt;T2SpaltenTitel_2&gt;",Uebersetzungen!$B$4:$E$315,Uebersetzungen!$B$2+1,FALSE)</f>
        <v>Februar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VLOOKUP("&lt;T2SpaltenTitel_5&gt;",Uebersetzungen!$B$4:$E$315,Uebersetzungen!$B$2+1,FALSE)</f>
        <v>Januar-Februar 25</v>
      </c>
      <c r="H82" s="22" t="str">
        <f>VLOOKUP("&lt;T2SpaltenTitel_6&gt;",Uebersetzungen!$B$4:$E$315,Uebersetzungen!$B$2+1,FALSE)</f>
        <v>Januar-Februar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75992</v>
      </c>
      <c r="D83" s="17">
        <v>73108</v>
      </c>
      <c r="E83" s="10">
        <f>C83/D83-1</f>
        <v>3.9448487169666757E-2</v>
      </c>
      <c r="F83" s="80">
        <v>0.29840484424336045</v>
      </c>
      <c r="G83" s="83">
        <v>149293</v>
      </c>
      <c r="H83" s="17">
        <v>144160</v>
      </c>
      <c r="I83" s="10">
        <f>G83/H83-1</f>
        <v>3.5606270810210949E-2</v>
      </c>
      <c r="J83" s="44">
        <v>0.29822709343499332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116032</v>
      </c>
      <c r="D84" s="17">
        <v>107768</v>
      </c>
      <c r="E84" s="10">
        <f t="shared" ref="E84:E96" si="4">C84/D84-1</f>
        <v>7.6683245490312579E-2</v>
      </c>
      <c r="F84" s="80">
        <v>0.42617989985078397</v>
      </c>
      <c r="G84" s="83">
        <v>220321</v>
      </c>
      <c r="H84" s="17">
        <v>208454</v>
      </c>
      <c r="I84" s="10">
        <f t="shared" ref="I84:I96" si="5">G84/H84-1</f>
        <v>5.6928626939276805E-2</v>
      </c>
      <c r="J84" s="44">
        <v>0.40648979227046977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413047</v>
      </c>
      <c r="D85" s="17">
        <v>463637</v>
      </c>
      <c r="E85" s="10">
        <f t="shared" si="4"/>
        <v>-0.10911553650808714</v>
      </c>
      <c r="F85" s="80">
        <v>1.2207350974941411E-2</v>
      </c>
      <c r="G85" s="83">
        <v>815024</v>
      </c>
      <c r="H85" s="17">
        <v>863752</v>
      </c>
      <c r="I85" s="10">
        <f t="shared" si="5"/>
        <v>-5.6414341153479208E-2</v>
      </c>
      <c r="J85" s="44">
        <v>0.10397723516975566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30446</v>
      </c>
      <c r="D86" s="17">
        <v>29759</v>
      </c>
      <c r="E86" s="10">
        <f t="shared" si="4"/>
        <v>2.3085453140226475E-2</v>
      </c>
      <c r="F86" s="80">
        <v>0.17978485956971912</v>
      </c>
      <c r="G86" s="83">
        <v>58131</v>
      </c>
      <c r="H86" s="17">
        <v>59818</v>
      </c>
      <c r="I86" s="10">
        <f t="shared" si="5"/>
        <v>-2.8202213380587815E-2</v>
      </c>
      <c r="J86" s="44">
        <v>0.19402770474562892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262364</v>
      </c>
      <c r="D87" s="17">
        <v>248121</v>
      </c>
      <c r="E87" s="10">
        <f t="shared" si="4"/>
        <v>5.7403444287263072E-2</v>
      </c>
      <c r="F87" s="80">
        <v>0.47146018716580551</v>
      </c>
      <c r="G87" s="83">
        <v>530766</v>
      </c>
      <c r="H87" s="17">
        <v>493175</v>
      </c>
      <c r="I87" s="10">
        <f t="shared" si="5"/>
        <v>7.6222436254879122E-2</v>
      </c>
      <c r="J87" s="44">
        <v>0.51803308883464916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788445</v>
      </c>
      <c r="D88" s="62">
        <v>840340</v>
      </c>
      <c r="E88" s="63">
        <f t="shared" si="4"/>
        <v>-6.1754765928076716E-2</v>
      </c>
      <c r="F88" s="85">
        <v>-3.8428951292416302E-3</v>
      </c>
      <c r="G88" s="87">
        <v>1511234</v>
      </c>
      <c r="H88" s="62">
        <v>1560707</v>
      </c>
      <c r="I88" s="63">
        <f t="shared" si="5"/>
        <v>-3.1699095345891326E-2</v>
      </c>
      <c r="J88" s="64">
        <v>7.5417430052117318E-2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32263</v>
      </c>
      <c r="D89" s="17">
        <v>32413</v>
      </c>
      <c r="E89" s="10">
        <f t="shared" si="4"/>
        <v>-4.6277728072069424E-3</v>
      </c>
      <c r="F89" s="80">
        <v>0.11516286915164242</v>
      </c>
      <c r="G89" s="83">
        <v>61313</v>
      </c>
      <c r="H89" s="17">
        <v>60332</v>
      </c>
      <c r="I89" s="10">
        <f t="shared" si="5"/>
        <v>1.6260027845919289E-2</v>
      </c>
      <c r="J89" s="44">
        <v>0.15404451069852887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251308</v>
      </c>
      <c r="D90" s="17">
        <v>261555</v>
      </c>
      <c r="E90" s="10">
        <f t="shared" si="4"/>
        <v>-3.9177228498786132E-2</v>
      </c>
      <c r="F90" s="80">
        <v>0.11020597133082632</v>
      </c>
      <c r="G90" s="83">
        <v>494641</v>
      </c>
      <c r="H90" s="17">
        <v>487746</v>
      </c>
      <c r="I90" s="10">
        <f t="shared" si="5"/>
        <v>1.4136456270271713E-2</v>
      </c>
      <c r="J90" s="44">
        <v>0.18621675702845919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135421</v>
      </c>
      <c r="D91" s="17">
        <v>137487</v>
      </c>
      <c r="E91" s="10">
        <f t="shared" si="4"/>
        <v>-1.5026875268207229E-2</v>
      </c>
      <c r="F91" s="80">
        <v>8.532679780467789E-2</v>
      </c>
      <c r="G91" s="83">
        <v>257385</v>
      </c>
      <c r="H91" s="17">
        <v>260900</v>
      </c>
      <c r="I91" s="10">
        <f t="shared" si="5"/>
        <v>-1.3472594863932597E-2</v>
      </c>
      <c r="J91" s="44">
        <v>0.1281334483447818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74016</v>
      </c>
      <c r="D92" s="17">
        <v>76553</v>
      </c>
      <c r="E92" s="10">
        <f t="shared" si="4"/>
        <v>-3.3140438650346771E-2</v>
      </c>
      <c r="F92" s="80">
        <v>-3.0869305623932974E-2</v>
      </c>
      <c r="G92" s="83">
        <v>136286</v>
      </c>
      <c r="H92" s="17">
        <v>137316</v>
      </c>
      <c r="I92" s="10">
        <f t="shared" si="5"/>
        <v>-7.5009467214308678E-3</v>
      </c>
      <c r="J92" s="44">
        <v>3.4064663374720139E-2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212987</v>
      </c>
      <c r="D93" s="17">
        <v>197038</v>
      </c>
      <c r="E93" s="10">
        <f t="shared" si="4"/>
        <v>8.0943777342441514E-2</v>
      </c>
      <c r="F93" s="80">
        <v>0.24230366321133512</v>
      </c>
      <c r="G93" s="83">
        <v>397578</v>
      </c>
      <c r="H93" s="17">
        <v>366196</v>
      </c>
      <c r="I93" s="10">
        <f t="shared" si="5"/>
        <v>8.5697276868125227E-2</v>
      </c>
      <c r="J93" s="44">
        <v>0.23579349419430873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540321</v>
      </c>
      <c r="D94" s="17">
        <v>570741</v>
      </c>
      <c r="E94" s="33">
        <f t="shared" si="4"/>
        <v>-5.3299132180796516E-2</v>
      </c>
      <c r="F94" s="80">
        <v>3.0209927382842228E-2</v>
      </c>
      <c r="G94" s="83">
        <v>1015022</v>
      </c>
      <c r="H94" s="17">
        <v>1041747</v>
      </c>
      <c r="I94" s="33">
        <f t="shared" si="5"/>
        <v>-2.5654021561857143E-2</v>
      </c>
      <c r="J94" s="44">
        <v>9.1546857208978372E-2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425120</v>
      </c>
      <c r="D95" s="18">
        <v>418400</v>
      </c>
      <c r="E95" s="43">
        <f t="shared" si="4"/>
        <v>1.6061185468451145E-2</v>
      </c>
      <c r="F95" s="11">
        <v>0.37964338010031895</v>
      </c>
      <c r="G95" s="84">
        <v>909217</v>
      </c>
      <c r="H95" s="18">
        <v>852587</v>
      </c>
      <c r="I95" s="43">
        <f t="shared" si="5"/>
        <v>6.6421374006406353E-2</v>
      </c>
      <c r="J95" s="48">
        <v>0.44672885002163998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3357762</v>
      </c>
      <c r="D96" s="40">
        <v>3456920</v>
      </c>
      <c r="E96" s="41">
        <f t="shared" si="4"/>
        <v>-2.8683915161473172E-2</v>
      </c>
      <c r="F96" s="86">
        <v>0.11774638367769552</v>
      </c>
      <c r="G96" s="79">
        <v>6556211</v>
      </c>
      <c r="H96" s="40">
        <v>6536890</v>
      </c>
      <c r="I96" s="41">
        <f t="shared" si="5"/>
        <v>2.9556868786226875E-3</v>
      </c>
      <c r="J96" s="45">
        <v>0.18693953038246547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VLOOKUP("&lt;T2Aktualisierung&gt;",Uebersetzungen!$B$4:$E$315,Uebersetzungen!$B$2+1,FALSE)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VLOOKUP("&lt;T2Legende_3&gt;",Uebersetzungen!$B$4:$E$315,Uebersetzungen!$B$2+1,FALSE)</f>
        <v>Daten des März 2025 erscheinen am 7. Mai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A00-000000000000}"/>
    <hyperlink ref="E76" location="Länder_Pajais_Paesi!A1" display="Länder / Pajais / Paese" xr:uid="{00000000-0004-0000-0A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/>
  <dimension ref="A1:K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3" width="13.5703125" style="4" customWidth="1"/>
    <col min="4" max="4" width="13.28515625" style="4" customWidth="1"/>
    <col min="5" max="5" width="12.5703125" style="4" customWidth="1"/>
    <col min="6" max="6" width="15.5703125" style="4" bestFit="1" customWidth="1"/>
    <col min="7" max="7" width="11.28515625" style="4" bestFit="1" customWidth="1"/>
    <col min="8" max="8" width="10.7109375" style="4" bestFit="1" customWidth="1"/>
    <col min="9" max="9" width="12.5703125" style="4" customWidth="1"/>
    <col min="10" max="10" width="15.5703125" style="4" bestFit="1" customWidth="1"/>
    <col min="11" max="16384" width="11.42578125" style="4"/>
  </cols>
  <sheetData>
    <row r="1" spans="1:11" s="68" customFormat="1" x14ac:dyDescent="0.2"/>
    <row r="2" spans="1:11" s="68" customFormat="1" ht="15.75" x14ac:dyDescent="0.25">
      <c r="B2" s="69"/>
      <c r="C2" s="4"/>
      <c r="D2" s="4"/>
    </row>
    <row r="3" spans="1:11" s="68" customFormat="1" ht="15.75" x14ac:dyDescent="0.25">
      <c r="B3" s="69"/>
      <c r="C3" s="4"/>
      <c r="D3" s="4"/>
    </row>
    <row r="4" spans="1:11" s="68" customFormat="1" ht="15.75" x14ac:dyDescent="0.25">
      <c r="B4" s="69"/>
      <c r="C4" s="4"/>
      <c r="D4" s="4"/>
    </row>
    <row r="5" spans="1:11" s="68" customFormat="1" x14ac:dyDescent="0.2"/>
    <row r="6" spans="1:11" s="68" customFormat="1" x14ac:dyDescent="0.2"/>
    <row r="7" spans="1:11" ht="15.75" customHeight="1" x14ac:dyDescent="0.2">
      <c r="A7" s="136" t="str">
        <f>VLOOKUP("&lt;Fachbereich&gt;",Uebersetzungen!$B$4:$E$33,Uebersetzungen!$B$2+1,FALSE)</f>
        <v>Daten &amp; Statistik</v>
      </c>
      <c r="B7" s="136"/>
      <c r="C7" s="136"/>
      <c r="D7" s="136"/>
      <c r="E7" s="95"/>
      <c r="F7" s="1"/>
    </row>
    <row r="8" spans="1:11" ht="10.5" customHeight="1" x14ac:dyDescent="0.2"/>
    <row r="9" spans="1:11" ht="18" x14ac:dyDescent="0.25">
      <c r="A9" s="2" t="str">
        <f>VLOOKUP("&lt;Titel1&gt;",Uebersetzungen!$B$4:$E$31,Uebersetzungen!$B$2+1,FALSE)</f>
        <v>Hotel- und Kurbetriebe: Logiernächte im Januar 2025, nach Destinationen</v>
      </c>
      <c r="B9" s="3"/>
      <c r="C9" s="3"/>
      <c r="D9" s="3"/>
      <c r="E9" s="3"/>
      <c r="F9" s="3"/>
    </row>
    <row r="10" spans="1:11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1" ht="13.5" thickBot="1" x14ac:dyDescent="0.25"/>
    <row r="12" spans="1:11" ht="51" customHeight="1" x14ac:dyDescent="0.2">
      <c r="A12" s="8"/>
      <c r="B12" s="9"/>
      <c r="C12" s="20" t="str">
        <f>VLOOKUP("&lt;SpaltenTitel_1&gt;",Uebersetzungen!$B$4:$E$34,Uebersetzungen!$B$2+1,FALSE)</f>
        <v>Januar 2025</v>
      </c>
      <c r="D12" s="21" t="str">
        <f>VLOOKUP("&lt;SpaltenTitel_2&gt;",Uebersetzungen!$B$4:$E$34,Uebersetzungen!$B$2+1,FALSE)</f>
        <v>Januar 2024</v>
      </c>
      <c r="E12" s="22" t="str">
        <f>VLOOKUP("&lt;SpaltenTitel_3&gt;",Uebersetzungen!$B$4:$E$34,Uebersetzungen!$B$2+1,FALSE)</f>
        <v>Veränderung 25/24 in %</v>
      </c>
      <c r="F12" s="23" t="str">
        <f>VLOOKUP("&lt;SpaltenTitel_4&gt;",Uebersetzungen!$B$4:$E$34,Uebersetzungen!$B$2+1,FALSE)</f>
        <v>Veränderung zum
5-Jahresmittel 
in %</v>
      </c>
      <c r="G12" s="97"/>
      <c r="H12" s="97"/>
      <c r="I12" s="97"/>
      <c r="J12" s="97"/>
      <c r="K12" s="96"/>
    </row>
    <row r="13" spans="1:11" x14ac:dyDescent="0.2">
      <c r="A13" s="24" t="str">
        <f>VLOOKUP("&lt;Zeilentitel_1&gt;",Uebersetzungen!$B$4:$E$88,Uebersetzungen!$B$2+1,FALSE)</f>
        <v>Arosa</v>
      </c>
      <c r="B13" s="5"/>
      <c r="C13" s="51">
        <v>74659</v>
      </c>
      <c r="D13" s="52">
        <v>73012</v>
      </c>
      <c r="E13" s="53">
        <f t="shared" ref="E13:E31" si="0">C13/D13-1</f>
        <v>2.2557935681805752E-2</v>
      </c>
      <c r="F13" s="54">
        <v>0.22446000688829493</v>
      </c>
      <c r="G13" s="101"/>
      <c r="H13" s="102"/>
      <c r="I13" s="103"/>
      <c r="J13" s="104"/>
      <c r="K13" s="96"/>
    </row>
    <row r="14" spans="1:11" x14ac:dyDescent="0.2">
      <c r="A14" s="24" t="str">
        <f>VLOOKUP("&lt;Zeilentitel_2&gt;",Uebersetzungen!$B$4:$E$88,Uebersetzungen!$B$2+1,FALSE)</f>
        <v>Bergün Filisur</v>
      </c>
      <c r="B14" s="5"/>
      <c r="C14" s="51">
        <v>7601</v>
      </c>
      <c r="D14" s="52">
        <v>7228</v>
      </c>
      <c r="E14" s="53">
        <f t="shared" si="0"/>
        <v>5.1604869950193644E-2</v>
      </c>
      <c r="F14" s="54">
        <v>6.4983466905789378E-2</v>
      </c>
      <c r="G14" s="101"/>
      <c r="H14" s="102"/>
      <c r="I14" s="103"/>
      <c r="J14" s="104"/>
      <c r="K14" s="96"/>
    </row>
    <row r="15" spans="1:11" x14ac:dyDescent="0.2">
      <c r="A15" s="24" t="str">
        <f>VLOOKUP("&lt;Zeilentitel_3&gt;",Uebersetzungen!$B$4:$E$88,Uebersetzungen!$B$2+1,FALSE)</f>
        <v>Bregaglia Engadin</v>
      </c>
      <c r="B15" s="5"/>
      <c r="C15" s="51">
        <v>4563</v>
      </c>
      <c r="D15" s="52">
        <v>5121</v>
      </c>
      <c r="E15" s="53">
        <f t="shared" si="0"/>
        <v>-0.10896309314586994</v>
      </c>
      <c r="F15" s="54">
        <v>6.811797752808979E-2</v>
      </c>
      <c r="G15" s="101"/>
      <c r="H15" s="102"/>
      <c r="I15" s="103"/>
      <c r="J15" s="104"/>
      <c r="K15" s="96"/>
    </row>
    <row r="16" spans="1:11" x14ac:dyDescent="0.2">
      <c r="A16" s="24" t="str">
        <f>VLOOKUP("&lt;Zeilentitel_4&gt;",Uebersetzungen!$B$4:$E$88,Uebersetzungen!$B$2+1,FALSE)</f>
        <v>Bündner Herrschaft</v>
      </c>
      <c r="B16" s="5"/>
      <c r="C16" s="51">
        <v>3709</v>
      </c>
      <c r="D16" s="52">
        <v>4116</v>
      </c>
      <c r="E16" s="53">
        <f t="shared" si="0"/>
        <v>-9.888241010689991E-2</v>
      </c>
      <c r="F16" s="54">
        <v>0.32853356257611566</v>
      </c>
      <c r="G16" s="101"/>
      <c r="H16" s="102"/>
      <c r="I16" s="103"/>
      <c r="J16" s="104"/>
      <c r="K16" s="96"/>
    </row>
    <row r="17" spans="1:11" x14ac:dyDescent="0.2">
      <c r="A17" s="24" t="str">
        <f>VLOOKUP("&lt;Zeilentitel_5&gt;",Uebersetzungen!$B$4:$E$88,Uebersetzungen!$B$2+1,FALSE)</f>
        <v>Chur</v>
      </c>
      <c r="B17" s="5"/>
      <c r="C17" s="51">
        <v>18912</v>
      </c>
      <c r="D17" s="52">
        <v>17687</v>
      </c>
      <c r="E17" s="53">
        <f t="shared" si="0"/>
        <v>6.9259908407304893E-2</v>
      </c>
      <c r="F17" s="54">
        <v>0.47731533558305217</v>
      </c>
      <c r="G17" s="101"/>
      <c r="H17" s="102"/>
      <c r="I17" s="103"/>
      <c r="J17" s="104"/>
      <c r="K17" s="96"/>
    </row>
    <row r="18" spans="1:11" x14ac:dyDescent="0.2">
      <c r="A18" s="24" t="str">
        <f>VLOOKUP("&lt;Zeilentitel_6&gt;",Uebersetzungen!$B$4:$E$88,Uebersetzungen!$B$2+1,FALSE)</f>
        <v>Davos Klosters</v>
      </c>
      <c r="B18" s="5"/>
      <c r="C18" s="51">
        <v>123535</v>
      </c>
      <c r="D18" s="52">
        <v>133871</v>
      </c>
      <c r="E18" s="53">
        <f t="shared" si="0"/>
        <v>-7.7208656094299721E-2</v>
      </c>
      <c r="F18" s="54">
        <v>9.5554991920908217E-2</v>
      </c>
      <c r="G18" s="101"/>
      <c r="H18" s="102"/>
      <c r="I18" s="103"/>
      <c r="J18" s="104"/>
      <c r="K18" s="96"/>
    </row>
    <row r="19" spans="1:11" x14ac:dyDescent="0.2">
      <c r="A19" s="24" t="str">
        <f>VLOOKUP("&lt;Zeilentitel_7&gt;",Uebersetzungen!$B$4:$E$88,Uebersetzungen!$B$2+1,FALSE)</f>
        <v>Disentis Sedrun</v>
      </c>
      <c r="B19" s="5"/>
      <c r="C19" s="51">
        <v>16859</v>
      </c>
      <c r="D19" s="52">
        <v>19008</v>
      </c>
      <c r="E19" s="53">
        <f t="shared" si="0"/>
        <v>-0.11305765993265993</v>
      </c>
      <c r="F19" s="54">
        <v>0.15715128968934899</v>
      </c>
      <c r="G19" s="101"/>
      <c r="H19" s="102"/>
      <c r="I19" s="103"/>
      <c r="J19" s="104"/>
      <c r="K19" s="96"/>
    </row>
    <row r="20" spans="1:11" x14ac:dyDescent="0.2">
      <c r="A20" s="24" t="str">
        <f>VLOOKUP("&lt;Zeilentitel_8&gt;",Uebersetzungen!$B$4:$E$88,Uebersetzungen!$B$2+1,FALSE)</f>
        <v>Engadin Samnaun Val Müstair</v>
      </c>
      <c r="B20" s="5"/>
      <c r="C20" s="51">
        <v>68719</v>
      </c>
      <c r="D20" s="52">
        <v>64327</v>
      </c>
      <c r="E20" s="53">
        <f t="shared" si="0"/>
        <v>6.8276151538234409E-2</v>
      </c>
      <c r="F20" s="54">
        <v>0.2547244568928686</v>
      </c>
      <c r="G20" s="101"/>
      <c r="H20" s="102"/>
      <c r="I20" s="103"/>
      <c r="J20" s="104"/>
      <c r="K20" s="96"/>
    </row>
    <row r="21" spans="1:11" x14ac:dyDescent="0.2">
      <c r="A21" s="24" t="str">
        <f>VLOOKUP("&lt;Zeilentitel_9&gt;",Uebersetzungen!$B$4:$E$88,Uebersetzungen!$B$2+1,FALSE)</f>
        <v>Engadin St. Moritz</v>
      </c>
      <c r="B21" s="5"/>
      <c r="C21" s="51">
        <v>232408</v>
      </c>
      <c r="D21" s="52">
        <v>222008</v>
      </c>
      <c r="E21" s="53">
        <f t="shared" si="0"/>
        <v>4.6845158733018533E-2</v>
      </c>
      <c r="F21" s="54">
        <v>0.2454596413156831</v>
      </c>
      <c r="G21" s="101"/>
      <c r="H21" s="102"/>
      <c r="I21" s="103"/>
      <c r="J21" s="104"/>
      <c r="K21" s="96"/>
    </row>
    <row r="22" spans="1:11" x14ac:dyDescent="0.2">
      <c r="A22" s="24" t="str">
        <f>VLOOKUP("&lt;Zeilentitel_10&gt;",Uebersetzungen!$B$4:$E$88,Uebersetzungen!$B$2+1,FALSE)</f>
        <v>Flims Laax</v>
      </c>
      <c r="B22" s="5"/>
      <c r="C22" s="51">
        <v>68558</v>
      </c>
      <c r="D22" s="52">
        <v>67586</v>
      </c>
      <c r="E22" s="53">
        <f t="shared" si="0"/>
        <v>1.4381676678602018E-2</v>
      </c>
      <c r="F22" s="54">
        <v>5.4076825623301072E-2</v>
      </c>
      <c r="G22" s="101"/>
      <c r="H22" s="102"/>
      <c r="I22" s="103"/>
      <c r="J22" s="104"/>
      <c r="K22" s="96"/>
    </row>
    <row r="23" spans="1:11" x14ac:dyDescent="0.2">
      <c r="A23" s="24" t="str">
        <f>VLOOKUP("&lt;Zeilentitel_11&gt;",Uebersetzungen!$B$4:$E$88,Uebersetzungen!$B$2+1,FALSE)</f>
        <v>Lenzerheide</v>
      </c>
      <c r="B23" s="5"/>
      <c r="C23" s="51">
        <v>45774</v>
      </c>
      <c r="D23" s="52">
        <v>49144</v>
      </c>
      <c r="E23" s="53">
        <f t="shared" si="0"/>
        <v>-6.8573986651473184E-2</v>
      </c>
      <c r="F23" s="54">
        <v>4.2146675530703837E-2</v>
      </c>
      <c r="G23" s="101"/>
      <c r="H23" s="102"/>
      <c r="I23" s="103"/>
      <c r="J23" s="104"/>
      <c r="K23" s="96"/>
    </row>
    <row r="24" spans="1:11" x14ac:dyDescent="0.2">
      <c r="A24" s="24" t="str">
        <f>VLOOKUP("&lt;Zeilentitel_12&gt;",Uebersetzungen!$B$4:$E$88,Uebersetzungen!$B$2+1,FALSE)</f>
        <v>Prättigau</v>
      </c>
      <c r="B24" s="5"/>
      <c r="C24" s="51">
        <v>9217</v>
      </c>
      <c r="D24" s="52">
        <v>10155</v>
      </c>
      <c r="E24" s="53">
        <f t="shared" si="0"/>
        <v>-9.2368291482028519E-2</v>
      </c>
      <c r="F24" s="54">
        <v>0.11905686950609495</v>
      </c>
      <c r="G24" s="101"/>
      <c r="H24" s="102"/>
      <c r="I24" s="103"/>
      <c r="J24" s="104"/>
      <c r="K24" s="96"/>
    </row>
    <row r="25" spans="1:11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3434</v>
      </c>
      <c r="D25" s="52">
        <v>2089</v>
      </c>
      <c r="E25" s="53">
        <f t="shared" si="0"/>
        <v>0.64384873145045485</v>
      </c>
      <c r="F25" s="54">
        <v>0.64826725544782571</v>
      </c>
      <c r="G25" s="101"/>
      <c r="H25" s="102"/>
      <c r="I25" s="103"/>
      <c r="J25" s="104"/>
      <c r="K25" s="96"/>
    </row>
    <row r="26" spans="1:11" x14ac:dyDescent="0.2">
      <c r="A26" s="24" t="str">
        <f>VLOOKUP("&lt;Zeilentitel_14&gt;",Uebersetzungen!$B$4:$E$88,Uebersetzungen!$B$2+1,FALSE)</f>
        <v>Val Surses</v>
      </c>
      <c r="B26" s="5"/>
      <c r="C26" s="51">
        <v>13115</v>
      </c>
      <c r="D26" s="52">
        <v>13104</v>
      </c>
      <c r="E26" s="53">
        <f t="shared" si="0"/>
        <v>8.3943833943833646E-4</v>
      </c>
      <c r="F26" s="54">
        <v>0.36285227367195927</v>
      </c>
      <c r="G26" s="101"/>
      <c r="H26" s="102"/>
      <c r="I26" s="103"/>
      <c r="J26" s="104"/>
      <c r="K26" s="96"/>
    </row>
    <row r="27" spans="1:11" x14ac:dyDescent="0.2">
      <c r="A27" s="24" t="str">
        <f>VLOOKUP("&lt;Zeilentitel_15&gt;",Uebersetzungen!$B$4:$E$88,Uebersetzungen!$B$2+1,FALSE)</f>
        <v>Surselva</v>
      </c>
      <c r="B27" s="5"/>
      <c r="C27" s="51">
        <v>13928</v>
      </c>
      <c r="D27" s="52">
        <v>13789</v>
      </c>
      <c r="E27" s="53">
        <f t="shared" si="0"/>
        <v>1.00804989484371E-2</v>
      </c>
      <c r="F27" s="54">
        <v>0.1121402791529591</v>
      </c>
      <c r="G27" s="101"/>
      <c r="H27" s="102"/>
      <c r="I27" s="103"/>
      <c r="J27" s="104"/>
      <c r="K27" s="96"/>
    </row>
    <row r="28" spans="1:11" x14ac:dyDescent="0.2">
      <c r="A28" s="24" t="str">
        <f>VLOOKUP("&lt;Zeilentitel_16&gt;",Uebersetzungen!$B$4:$E$88,Uebersetzungen!$B$2+1,FALSE)</f>
        <v>Valposchiavo</v>
      </c>
      <c r="B28" s="5"/>
      <c r="C28" s="51">
        <v>3618</v>
      </c>
      <c r="D28" s="52">
        <v>2858</v>
      </c>
      <c r="E28" s="53">
        <f t="shared" si="0"/>
        <v>0.26592022393282022</v>
      </c>
      <c r="F28" s="54">
        <v>0.66482606294864732</v>
      </c>
      <c r="G28" s="101"/>
      <c r="H28" s="102"/>
      <c r="I28" s="103"/>
      <c r="J28" s="104"/>
      <c r="K28" s="96"/>
    </row>
    <row r="29" spans="1:11" x14ac:dyDescent="0.2">
      <c r="A29" s="24" t="str">
        <f>VLOOKUP("&lt;Zeilentitel_17&gt;",Uebersetzungen!$B$4:$E$88,Uebersetzungen!$B$2+1,FALSE)</f>
        <v>Vals</v>
      </c>
      <c r="B29" s="5"/>
      <c r="C29" s="51">
        <v>7408</v>
      </c>
      <c r="D29" s="52">
        <v>7662</v>
      </c>
      <c r="E29" s="53">
        <f t="shared" si="0"/>
        <v>-3.3150613416862429E-2</v>
      </c>
      <c r="F29" s="54">
        <v>3.4203546000279195E-2</v>
      </c>
      <c r="G29" s="101"/>
      <c r="H29" s="102"/>
      <c r="I29" s="103"/>
      <c r="J29" s="104"/>
      <c r="K29" s="96"/>
    </row>
    <row r="30" spans="1:11" x14ac:dyDescent="0.2">
      <c r="A30" s="24" t="str">
        <f>VLOOKUP("&lt;Zeilentitel_18&gt;",Uebersetzungen!$B$4:$E$88,Uebersetzungen!$B$2+1,FALSE)</f>
        <v>Viamala</v>
      </c>
      <c r="B30" s="5"/>
      <c r="C30" s="51">
        <v>6772</v>
      </c>
      <c r="D30" s="52">
        <v>7602</v>
      </c>
      <c r="E30" s="53">
        <f t="shared" si="0"/>
        <v>-0.10918179426466723</v>
      </c>
      <c r="F30" s="54">
        <v>7.1044473967229571E-2</v>
      </c>
      <c r="G30" s="101"/>
      <c r="H30" s="102"/>
      <c r="I30" s="103"/>
      <c r="J30" s="104"/>
      <c r="K30" s="96"/>
    </row>
    <row r="31" spans="1:11" ht="13.5" thickBot="1" x14ac:dyDescent="0.25">
      <c r="A31" s="26" t="str">
        <f>VLOOKUP("&lt;Zeilentitel_19&gt;",Uebersetzungen!$B$4:$E$88,Uebersetzungen!$B$2+1,FALSE)</f>
        <v>Graubünden</v>
      </c>
      <c r="B31" s="25"/>
      <c r="C31" s="121">
        <v>722789</v>
      </c>
      <c r="D31" s="122">
        <v>720367</v>
      </c>
      <c r="E31" s="12">
        <f t="shared" si="0"/>
        <v>3.3621751135184397E-3</v>
      </c>
      <c r="F31" s="47">
        <v>0.17762805026273809</v>
      </c>
      <c r="G31" s="29"/>
      <c r="H31" s="98"/>
      <c r="I31" s="99"/>
      <c r="J31" s="99"/>
      <c r="K31" s="96"/>
    </row>
    <row r="32" spans="1:11" x14ac:dyDescent="0.2">
      <c r="C32" s="15"/>
      <c r="D32" s="16"/>
      <c r="E32" s="28"/>
      <c r="F32" s="27"/>
      <c r="I32" s="15"/>
      <c r="J32" s="15"/>
    </row>
    <row r="33" spans="1:11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1" x14ac:dyDescent="0.2">
      <c r="C35" s="15"/>
    </row>
    <row r="36" spans="1:11" ht="18" x14ac:dyDescent="0.25">
      <c r="A36" s="2" t="str">
        <f>VLOOKUP("&lt;Titel2&gt;",Uebersetzungen!$B$4:$E$31,Uebersetzungen!$B$2+1,FALSE)</f>
        <v>Hotel- und Kurbetriebe: Logiernächte im Januar 2025, nach Herkunft</v>
      </c>
      <c r="B36" s="3"/>
      <c r="C36" s="3"/>
      <c r="D36" s="3"/>
      <c r="E36" s="3"/>
      <c r="F36" s="3"/>
    </row>
    <row r="37" spans="1:11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1" ht="13.5" thickBot="1" x14ac:dyDescent="0.25">
      <c r="G38" s="96"/>
      <c r="H38" s="96"/>
      <c r="I38" s="96"/>
      <c r="J38" s="96"/>
      <c r="K38" s="96"/>
    </row>
    <row r="39" spans="1:11" ht="51" customHeight="1" x14ac:dyDescent="0.2">
      <c r="A39" s="8"/>
      <c r="B39" s="9"/>
      <c r="C39" s="20" t="str">
        <f>VLOOKUP("&lt;SpaltenTitel_1&gt;",Uebersetzungen!$B$4:$E$34,Uebersetzungen!$B$2+1,FALSE)</f>
        <v>Januar 2025</v>
      </c>
      <c r="D39" s="21" t="str">
        <f>VLOOKUP("&lt;SpaltenTitel_2&gt;",Uebersetzungen!$B$4:$E$34,Uebersetzungen!$B$2+1,FALSE)</f>
        <v>Januar 2024</v>
      </c>
      <c r="E39" s="22" t="str">
        <f>VLOOKUP("&lt;SpaltenTitel_3&gt;",Uebersetzungen!$B$4:$E$34,Uebersetzungen!$B$2+1,FALSE)</f>
        <v>Veränderung 25/24 in %</v>
      </c>
      <c r="F39" s="23" t="str">
        <f>VLOOKUP("&lt;SpaltenTitel_4&gt;",Uebersetzungen!$B$4:$E$34,Uebersetzungen!$B$2+1,FALSE)</f>
        <v>Veränderung zum
5-Jahresmittel 
in %</v>
      </c>
      <c r="G39" s="97"/>
      <c r="H39" s="97"/>
      <c r="I39" s="97"/>
      <c r="J39" s="97"/>
      <c r="K39" s="96"/>
    </row>
    <row r="40" spans="1:11" x14ac:dyDescent="0.2">
      <c r="A40" s="24" t="str">
        <f>VLOOKUP("&lt;Zeilentitel_20&gt;",Uebersetzungen!$B$4:$E$88,Uebersetzungen!$B$2+1,FALSE)</f>
        <v>Schweiz</v>
      </c>
      <c r="B40" s="5"/>
      <c r="C40" s="13">
        <v>446698</v>
      </c>
      <c r="D40" s="17">
        <v>449035</v>
      </c>
      <c r="E40" s="10">
        <f>C40/D40-1</f>
        <v>-5.2044940817530527E-3</v>
      </c>
      <c r="F40" s="44">
        <v>0.12068757890257942</v>
      </c>
      <c r="G40" s="29"/>
      <c r="H40" s="98"/>
      <c r="I40" s="99"/>
      <c r="J40" s="100"/>
      <c r="K40" s="96"/>
    </row>
    <row r="41" spans="1:11" x14ac:dyDescent="0.2">
      <c r="A41" s="24" t="str">
        <f>VLOOKUP("&lt;Zeilentitel_21&gt;",Uebersetzungen!$B$4:$E$88,Uebersetzungen!$B$2+1,FALSE)</f>
        <v>Deutschland</v>
      </c>
      <c r="B41" s="5"/>
      <c r="C41" s="13">
        <v>96067</v>
      </c>
      <c r="D41" s="17">
        <v>104659</v>
      </c>
      <c r="E41" s="10">
        <f t="shared" ref="E41:E71" si="1">C41/D41-1</f>
        <v>-8.2095185316121921E-2</v>
      </c>
      <c r="F41" s="44">
        <v>0.14575804631836053</v>
      </c>
      <c r="G41" s="29"/>
      <c r="H41" s="98"/>
      <c r="I41" s="99"/>
      <c r="J41" s="100"/>
      <c r="K41" s="96"/>
    </row>
    <row r="42" spans="1:11" x14ac:dyDescent="0.2">
      <c r="A42" s="24" t="str">
        <f>VLOOKUP("&lt;Zeilentitel_22&gt;",Uebersetzungen!$B$4:$E$88,Uebersetzungen!$B$2+1,FALSE)</f>
        <v>Vereinigte Staaten</v>
      </c>
      <c r="B42" s="5"/>
      <c r="C42" s="13">
        <v>23768</v>
      </c>
      <c r="D42" s="17">
        <v>20714</v>
      </c>
      <c r="E42" s="10">
        <f t="shared" si="1"/>
        <v>0.14743651636574295</v>
      </c>
      <c r="F42" s="44">
        <v>0.81573720397249816</v>
      </c>
      <c r="G42" s="29"/>
      <c r="H42" s="98"/>
      <c r="I42" s="99"/>
      <c r="J42" s="100"/>
      <c r="K42" s="96"/>
    </row>
    <row r="43" spans="1:11" x14ac:dyDescent="0.2">
      <c r="A43" s="24" t="str">
        <f>VLOOKUP("&lt;Zeilentitel_23&gt;",Uebersetzungen!$B$4:$E$88,Uebersetzungen!$B$2+1,FALSE)</f>
        <v>Vereinigtes Königreich</v>
      </c>
      <c r="B43" s="5"/>
      <c r="C43" s="13">
        <v>23039</v>
      </c>
      <c r="D43" s="17">
        <v>20428</v>
      </c>
      <c r="E43" s="10">
        <f t="shared" si="1"/>
        <v>0.12781476404934411</v>
      </c>
      <c r="F43" s="44">
        <v>0.40442314960437931</v>
      </c>
      <c r="G43" s="29"/>
      <c r="H43" s="98"/>
      <c r="I43" s="99"/>
      <c r="J43" s="100"/>
      <c r="K43" s="96"/>
    </row>
    <row r="44" spans="1:11" x14ac:dyDescent="0.2">
      <c r="A44" s="24" t="str">
        <f>VLOOKUP("&lt;Zeilentitel_24&gt;",Uebersetzungen!$B$4:$E$88,Uebersetzungen!$B$2+1,FALSE)</f>
        <v>Belgien</v>
      </c>
      <c r="B44" s="5"/>
      <c r="C44" s="13">
        <v>4700</v>
      </c>
      <c r="D44" s="17">
        <v>6135</v>
      </c>
      <c r="E44" s="10">
        <f t="shared" si="1"/>
        <v>-0.23390383048084762</v>
      </c>
      <c r="F44" s="44">
        <v>-9.6779152894150289E-2</v>
      </c>
      <c r="G44" s="29"/>
      <c r="H44" s="98"/>
      <c r="I44" s="99"/>
      <c r="J44" s="100"/>
      <c r="K44" s="96"/>
    </row>
    <row r="45" spans="1:11" x14ac:dyDescent="0.2">
      <c r="A45" s="24" t="str">
        <f>VLOOKUP("&lt;Zeilentitel_25&gt;",Uebersetzungen!$B$4:$E$88,Uebersetzungen!$B$2+1,FALSE)</f>
        <v>Niederlande</v>
      </c>
      <c r="B45" s="5"/>
      <c r="C45" s="13">
        <v>10069</v>
      </c>
      <c r="D45" s="17">
        <v>10847</v>
      </c>
      <c r="E45" s="10">
        <f t="shared" si="1"/>
        <v>-7.1724900894256427E-2</v>
      </c>
      <c r="F45" s="44">
        <v>0.1232457999598402</v>
      </c>
      <c r="G45" s="29"/>
      <c r="H45" s="98"/>
      <c r="I45" s="99"/>
      <c r="J45" s="100"/>
      <c r="K45" s="96"/>
    </row>
    <row r="46" spans="1:11" x14ac:dyDescent="0.2">
      <c r="A46" s="24" t="str">
        <f>VLOOKUP("&lt;Zeilentitel_26&gt;",Uebersetzungen!$B$4:$E$88,Uebersetzungen!$B$2+1,FALSE)</f>
        <v>Österreich</v>
      </c>
      <c r="B46" s="5"/>
      <c r="C46" s="13">
        <v>3957</v>
      </c>
      <c r="D46" s="17">
        <v>4065</v>
      </c>
      <c r="E46" s="10">
        <f t="shared" si="1"/>
        <v>-2.65682656826568E-2</v>
      </c>
      <c r="F46" s="44">
        <v>8.8044434667839733E-2</v>
      </c>
      <c r="G46" s="29"/>
      <c r="H46" s="98"/>
      <c r="I46" s="99"/>
      <c r="J46" s="100"/>
      <c r="K46" s="96"/>
    </row>
    <row r="47" spans="1:11" x14ac:dyDescent="0.2">
      <c r="A47" s="24" t="str">
        <f>VLOOKUP("&lt;Zeilentitel_27&gt;",Uebersetzungen!$B$4:$E$88,Uebersetzungen!$B$2+1,FALSE)</f>
        <v>Italien</v>
      </c>
      <c r="B47" s="5"/>
      <c r="C47" s="13">
        <v>15337</v>
      </c>
      <c r="D47" s="17">
        <v>15090</v>
      </c>
      <c r="E47" s="10">
        <f t="shared" si="1"/>
        <v>1.6368455931080161E-2</v>
      </c>
      <c r="F47" s="44">
        <v>0.29203733656827069</v>
      </c>
      <c r="G47" s="29"/>
      <c r="H47" s="98"/>
      <c r="I47" s="99"/>
      <c r="J47" s="100"/>
      <c r="K47" s="96"/>
    </row>
    <row r="48" spans="1:11" x14ac:dyDescent="0.2">
      <c r="A48" s="24" t="str">
        <f>VLOOKUP("&lt;Zeilentitel_28&gt;",Uebersetzungen!$B$4:$E$88,Uebersetzungen!$B$2+1,FALSE)</f>
        <v>Frankreich</v>
      </c>
      <c r="B48" s="5"/>
      <c r="C48" s="13">
        <v>8238</v>
      </c>
      <c r="D48" s="17">
        <v>7529</v>
      </c>
      <c r="E48" s="10">
        <f t="shared" si="1"/>
        <v>9.4169212378802047E-2</v>
      </c>
      <c r="F48" s="44">
        <v>0.4570731189642363</v>
      </c>
      <c r="G48" s="29"/>
      <c r="H48" s="98"/>
      <c r="I48" s="99"/>
      <c r="J48" s="100"/>
      <c r="K48" s="96"/>
    </row>
    <row r="49" spans="1:11" x14ac:dyDescent="0.2">
      <c r="A49" s="24" t="str">
        <f>VLOOKUP("&lt;Zeilentitel_29&gt;",Uebersetzungen!$B$4:$E$88,Uebersetzungen!$B$2+1,FALSE)</f>
        <v>Australien</v>
      </c>
      <c r="B49" s="5"/>
      <c r="C49" s="13">
        <v>5547</v>
      </c>
      <c r="D49" s="17">
        <v>6310</v>
      </c>
      <c r="E49" s="10">
        <f t="shared" si="1"/>
        <v>-0.12091917591125201</v>
      </c>
      <c r="F49" s="44">
        <v>0.65681003584229392</v>
      </c>
      <c r="G49" s="29"/>
      <c r="H49" s="98"/>
      <c r="I49" s="99"/>
      <c r="J49" s="100"/>
      <c r="K49" s="96"/>
    </row>
    <row r="50" spans="1:11" x14ac:dyDescent="0.2">
      <c r="A50" s="24" t="str">
        <f>VLOOKUP("&lt;Zeilentitel_30&gt;",Uebersetzungen!$B$4:$E$88,Uebersetzungen!$B$2+1,FALSE)</f>
        <v>Taiwan</v>
      </c>
      <c r="B50" s="5"/>
      <c r="C50" s="13">
        <v>309</v>
      </c>
      <c r="D50" s="17">
        <v>195</v>
      </c>
      <c r="E50" s="10">
        <f t="shared" si="1"/>
        <v>0.58461538461538454</v>
      </c>
      <c r="F50" s="44">
        <v>1.245639534883721</v>
      </c>
      <c r="G50" s="29"/>
      <c r="H50" s="98"/>
      <c r="I50" s="99"/>
      <c r="J50" s="100"/>
      <c r="K50" s="96"/>
    </row>
    <row r="51" spans="1:11" x14ac:dyDescent="0.2">
      <c r="A51" s="24" t="str">
        <f>VLOOKUP("&lt;Zeilentitel_31&gt;",Uebersetzungen!$B$4:$E$88,Uebersetzungen!$B$2+1,FALSE)</f>
        <v>Israel</v>
      </c>
      <c r="B51" s="5"/>
      <c r="C51" s="13">
        <v>2644</v>
      </c>
      <c r="D51" s="17">
        <v>1514</v>
      </c>
      <c r="E51" s="10">
        <f t="shared" si="1"/>
        <v>0.74636723910171732</v>
      </c>
      <c r="F51" s="44">
        <v>0.84533780011166959</v>
      </c>
      <c r="G51" s="29"/>
      <c r="H51" s="98"/>
      <c r="I51" s="99"/>
      <c r="J51" s="100"/>
      <c r="K51" s="96"/>
    </row>
    <row r="52" spans="1:11" x14ac:dyDescent="0.2">
      <c r="A52" s="24" t="str">
        <f>VLOOKUP("&lt;Zeilentitel_32&gt;",Uebersetzungen!$B$4:$E$88,Uebersetzungen!$B$2+1,FALSE)</f>
        <v>Kanada</v>
      </c>
      <c r="B52" s="5"/>
      <c r="C52" s="13">
        <v>2187</v>
      </c>
      <c r="D52" s="17">
        <v>2342</v>
      </c>
      <c r="E52" s="10">
        <f t="shared" si="1"/>
        <v>-6.6182749786507289E-2</v>
      </c>
      <c r="F52" s="44">
        <v>0.32835276967930027</v>
      </c>
      <c r="G52" s="29"/>
      <c r="H52" s="98"/>
      <c r="I52" s="99"/>
      <c r="J52" s="100"/>
      <c r="K52" s="96"/>
    </row>
    <row r="53" spans="1:11" x14ac:dyDescent="0.2">
      <c r="A53" s="24" t="str">
        <f>VLOOKUP("&lt;Zeilentitel_33&gt;",Uebersetzungen!$B$4:$E$88,Uebersetzungen!$B$2+1,FALSE)</f>
        <v>Japan</v>
      </c>
      <c r="B53" s="5"/>
      <c r="C53" s="13">
        <v>1102</v>
      </c>
      <c r="D53" s="17">
        <v>963</v>
      </c>
      <c r="E53" s="10">
        <f t="shared" si="1"/>
        <v>0.1443406022845275</v>
      </c>
      <c r="F53" s="44">
        <v>0.39847715736040601</v>
      </c>
      <c r="G53" s="29"/>
      <c r="H53" s="98"/>
      <c r="I53" s="99"/>
      <c r="J53" s="100"/>
      <c r="K53" s="96"/>
    </row>
    <row r="54" spans="1:11" x14ac:dyDescent="0.2">
      <c r="A54" s="24" t="str">
        <f>VLOOKUP("&lt;Zeilentitel_34&gt;",Uebersetzungen!$B$4:$E$88,Uebersetzungen!$B$2+1,FALSE)</f>
        <v>China</v>
      </c>
      <c r="B54" s="5"/>
      <c r="C54" s="13">
        <v>1895</v>
      </c>
      <c r="D54" s="17">
        <v>1409</v>
      </c>
      <c r="E54" s="10">
        <f t="shared" si="1"/>
        <v>0.34492547906316529</v>
      </c>
      <c r="F54" s="44">
        <v>0.47700701480904129</v>
      </c>
      <c r="G54" s="29"/>
      <c r="H54" s="98"/>
      <c r="I54" s="99"/>
      <c r="J54" s="100"/>
      <c r="K54" s="96"/>
    </row>
    <row r="55" spans="1:11" x14ac:dyDescent="0.2">
      <c r="A55" s="24" t="str">
        <f>VLOOKUP("&lt;Zeilentitel_35&gt;",Uebersetzungen!$B$4:$E$88,Uebersetzungen!$B$2+1,FALSE)</f>
        <v>Polen</v>
      </c>
      <c r="B55" s="5"/>
      <c r="C55" s="13">
        <v>4740</v>
      </c>
      <c r="D55" s="17">
        <v>6517</v>
      </c>
      <c r="E55" s="10">
        <f t="shared" si="1"/>
        <v>-0.2726714746048795</v>
      </c>
      <c r="F55" s="44">
        <v>-0.5312592709796089</v>
      </c>
      <c r="G55" s="29"/>
      <c r="H55" s="98"/>
      <c r="I55" s="99"/>
      <c r="J55" s="100"/>
      <c r="K55" s="96"/>
    </row>
    <row r="56" spans="1:11" x14ac:dyDescent="0.2">
      <c r="A56" s="24" t="str">
        <f>VLOOKUP("&lt;Zeilentitel_36&gt;",Uebersetzungen!$B$4:$E$88,Uebersetzungen!$B$2+1,FALSE)</f>
        <v>Brasilien</v>
      </c>
      <c r="B56" s="5"/>
      <c r="C56" s="13">
        <v>12410</v>
      </c>
      <c r="D56" s="17">
        <v>10897</v>
      </c>
      <c r="E56" s="10">
        <f t="shared" si="1"/>
        <v>0.13884555382215291</v>
      </c>
      <c r="F56" s="44">
        <v>0.88883139021643176</v>
      </c>
      <c r="G56" s="29"/>
      <c r="H56" s="98"/>
      <c r="I56" s="99"/>
      <c r="J56" s="100"/>
      <c r="K56" s="96"/>
    </row>
    <row r="57" spans="1:11" x14ac:dyDescent="0.2">
      <c r="A57" s="24" t="str">
        <f>VLOOKUP("&lt;Zeilentitel_37&gt;",Uebersetzungen!$B$4:$E$88,Uebersetzungen!$B$2+1,FALSE)</f>
        <v>Indien</v>
      </c>
      <c r="B57" s="5"/>
      <c r="C57" s="13">
        <v>1951</v>
      </c>
      <c r="D57" s="17">
        <v>1265</v>
      </c>
      <c r="E57" s="10">
        <f t="shared" si="1"/>
        <v>0.54229249011857705</v>
      </c>
      <c r="F57" s="44">
        <v>1.818549552152557</v>
      </c>
      <c r="G57" s="29"/>
      <c r="H57" s="98"/>
      <c r="I57" s="99"/>
      <c r="J57" s="100"/>
      <c r="K57" s="96"/>
    </row>
    <row r="58" spans="1:11" x14ac:dyDescent="0.2">
      <c r="A58" s="24" t="str">
        <f>VLOOKUP("&lt;Zeilentitel_38&gt;",Uebersetzungen!$B$4:$E$88,Uebersetzungen!$B$2+1,FALSE)</f>
        <v>Tschechien</v>
      </c>
      <c r="B58" s="5"/>
      <c r="C58" s="13">
        <v>2364</v>
      </c>
      <c r="D58" s="17">
        <v>2341</v>
      </c>
      <c r="E58" s="10">
        <f t="shared" si="1"/>
        <v>9.8248611704399025E-3</v>
      </c>
      <c r="F58" s="44">
        <v>-3.7694374338516634E-2</v>
      </c>
      <c r="G58" s="29"/>
      <c r="H58" s="98"/>
      <c r="I58" s="99"/>
      <c r="J58" s="100"/>
      <c r="K58" s="96"/>
    </row>
    <row r="59" spans="1:11" x14ac:dyDescent="0.2">
      <c r="A59" s="24" t="str">
        <f>VLOOKUP("&lt;Zeilentitel_39&gt;",Uebersetzungen!$B$4:$E$88,Uebersetzungen!$B$2+1,FALSE)</f>
        <v>Schweden</v>
      </c>
      <c r="B59" s="5"/>
      <c r="C59" s="13">
        <v>2129</v>
      </c>
      <c r="D59" s="17">
        <v>2110</v>
      </c>
      <c r="E59" s="10">
        <f t="shared" si="1"/>
        <v>9.0047393364929285E-3</v>
      </c>
      <c r="F59" s="44">
        <v>0.28268466080250643</v>
      </c>
      <c r="G59" s="29"/>
      <c r="H59" s="98"/>
      <c r="I59" s="99"/>
      <c r="J59" s="100"/>
      <c r="K59" s="96"/>
    </row>
    <row r="60" spans="1:11" x14ac:dyDescent="0.2">
      <c r="A60" s="24" t="str">
        <f>VLOOKUP("&lt;Zeilentitel_40&gt;",Uebersetzungen!$B$4:$E$88,Uebersetzungen!$B$2+1,FALSE)</f>
        <v>Dänemark</v>
      </c>
      <c r="B60" s="5"/>
      <c r="C60" s="13">
        <v>1177</v>
      </c>
      <c r="D60" s="17">
        <v>1085</v>
      </c>
      <c r="E60" s="10">
        <f t="shared" si="1"/>
        <v>8.4792626728110498E-2</v>
      </c>
      <c r="F60" s="44">
        <v>0.21490503715937237</v>
      </c>
      <c r="G60" s="29"/>
      <c r="H60" s="98"/>
      <c r="I60" s="99"/>
      <c r="J60" s="100"/>
      <c r="K60" s="96"/>
    </row>
    <row r="61" spans="1:11" x14ac:dyDescent="0.2">
      <c r="A61" s="24" t="str">
        <f>VLOOKUP("&lt;Zeilentitel_41&gt;",Uebersetzungen!$B$4:$E$88,Uebersetzungen!$B$2+1,FALSE)</f>
        <v>Spanien</v>
      </c>
      <c r="B61" s="5"/>
      <c r="C61" s="13">
        <v>3011</v>
      </c>
      <c r="D61" s="17">
        <v>2737</v>
      </c>
      <c r="E61" s="10">
        <f t="shared" si="1"/>
        <v>0.10010960906101563</v>
      </c>
      <c r="F61" s="44">
        <v>0.7133265050642994</v>
      </c>
      <c r="G61" s="29"/>
      <c r="H61" s="98"/>
      <c r="I61" s="99"/>
      <c r="J61" s="100"/>
      <c r="K61" s="96"/>
    </row>
    <row r="62" spans="1:11" x14ac:dyDescent="0.2">
      <c r="A62" s="24" t="str">
        <f>VLOOKUP("&lt;Zeilentitel_42&gt;",Uebersetzungen!$B$4:$E$88,Uebersetzungen!$B$2+1,FALSE)</f>
        <v>Luxemburg</v>
      </c>
      <c r="B62" s="5"/>
      <c r="C62" s="13">
        <v>2477</v>
      </c>
      <c r="D62" s="17">
        <v>3001</v>
      </c>
      <c r="E62" s="10">
        <f t="shared" si="1"/>
        <v>-0.17460846384538486</v>
      </c>
      <c r="F62" s="44">
        <v>0.1477156890000928</v>
      </c>
      <c r="G62" s="29"/>
      <c r="H62" s="98"/>
      <c r="I62" s="99"/>
      <c r="J62" s="100"/>
      <c r="K62" s="96"/>
    </row>
    <row r="63" spans="1:11" x14ac:dyDescent="0.2">
      <c r="A63" s="24" t="str">
        <f>VLOOKUP("&lt;Zeilentitel_43&gt;",Uebersetzungen!$B$4:$E$88,Uebersetzungen!$B$2+1,FALSE)</f>
        <v>Vereinigte Arabische Emirate</v>
      </c>
      <c r="B63" s="5"/>
      <c r="C63" s="13">
        <v>2457</v>
      </c>
      <c r="D63" s="17">
        <v>1596</v>
      </c>
      <c r="E63" s="10">
        <f t="shared" si="1"/>
        <v>0.53947368421052633</v>
      </c>
      <c r="F63" s="44">
        <v>1.752016129032258</v>
      </c>
      <c r="G63" s="29"/>
      <c r="H63" s="98"/>
      <c r="I63" s="99"/>
      <c r="J63" s="100"/>
      <c r="K63" s="96"/>
    </row>
    <row r="64" spans="1:11" x14ac:dyDescent="0.2">
      <c r="A64" s="24"/>
      <c r="B64" s="5"/>
      <c r="C64" s="13"/>
      <c r="D64" s="17"/>
      <c r="E64" s="10"/>
      <c r="F64" s="44"/>
      <c r="G64" s="29"/>
      <c r="H64" s="98"/>
      <c r="I64" s="99"/>
      <c r="J64" s="100"/>
      <c r="K64" s="96"/>
    </row>
    <row r="65" spans="1:11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44"/>
      <c r="G65" s="29"/>
      <c r="H65" s="98"/>
      <c r="I65" s="99"/>
      <c r="J65" s="100"/>
      <c r="K65" s="96"/>
    </row>
    <row r="66" spans="1:11" x14ac:dyDescent="0.2">
      <c r="A66" s="24" t="str">
        <f>VLOOKUP("&lt;Zeilentitel_44.1&gt;",Uebersetzungen!$B$4:$E$88,Uebersetzungen!$B$2+1,FALSE)</f>
        <v>übrige Golfstaaten</v>
      </c>
      <c r="B66" s="5"/>
      <c r="C66" s="13">
        <v>4058</v>
      </c>
      <c r="D66" s="17">
        <v>3094</v>
      </c>
      <c r="E66" s="10">
        <f t="shared" si="1"/>
        <v>0.31157078215901746</v>
      </c>
      <c r="F66" s="44">
        <v>1.7605442176870749</v>
      </c>
      <c r="G66" s="29"/>
      <c r="H66" s="98"/>
      <c r="I66" s="99"/>
      <c r="J66" s="100"/>
      <c r="K66" s="96"/>
    </row>
    <row r="67" spans="1:11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7309</v>
      </c>
      <c r="D67" s="17">
        <v>6471</v>
      </c>
      <c r="E67" s="10">
        <f t="shared" si="1"/>
        <v>0.12950084994591249</v>
      </c>
      <c r="F67" s="44">
        <v>0.55160701396849654</v>
      </c>
      <c r="G67" s="29"/>
      <c r="H67" s="98"/>
      <c r="I67" s="99"/>
      <c r="J67" s="100"/>
      <c r="K67" s="96"/>
    </row>
    <row r="68" spans="1:11" x14ac:dyDescent="0.2">
      <c r="A68" s="24" t="str">
        <f>VLOOKUP("&lt;Zeilentitel_44.3&gt;",Uebersetzungen!$B$4:$E$88,Uebersetzungen!$B$2+1,FALSE)</f>
        <v>übriges Südostasien</v>
      </c>
      <c r="B68" s="5"/>
      <c r="C68" s="13">
        <v>6365</v>
      </c>
      <c r="D68" s="17">
        <v>5630</v>
      </c>
      <c r="E68" s="10">
        <f t="shared" si="1"/>
        <v>0.13055062166962705</v>
      </c>
      <c r="F68" s="44">
        <v>0.53521466473709589</v>
      </c>
      <c r="G68" s="29"/>
      <c r="H68" s="98"/>
      <c r="I68" s="99"/>
      <c r="J68" s="100"/>
      <c r="K68" s="96"/>
    </row>
    <row r="69" spans="1:11" x14ac:dyDescent="0.2">
      <c r="A69" s="24" t="str">
        <f>VLOOKUP("&lt;Zeilentitel_44.4&gt;",Uebersetzungen!$B$4:$E$88,Uebersetzungen!$B$2+1,FALSE)</f>
        <v>übriges Osteuropa</v>
      </c>
      <c r="B69" s="5"/>
      <c r="C69" s="13">
        <v>11138</v>
      </c>
      <c r="D69" s="17">
        <v>10209</v>
      </c>
      <c r="E69" s="10">
        <f t="shared" si="1"/>
        <v>9.099813889705155E-2</v>
      </c>
      <c r="F69" s="44">
        <v>-8.6510071517616915E-2</v>
      </c>
      <c r="G69" s="29"/>
      <c r="H69" s="98"/>
      <c r="I69" s="99"/>
      <c r="J69" s="100"/>
      <c r="K69" s="96"/>
    </row>
    <row r="70" spans="1:11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4663</v>
      </c>
      <c r="D70" s="17">
        <v>3481</v>
      </c>
      <c r="E70" s="10">
        <f t="shared" si="1"/>
        <v>0.33955759839126687</v>
      </c>
      <c r="F70" s="44">
        <v>1.0464320196611956</v>
      </c>
      <c r="G70" s="29"/>
      <c r="H70" s="98"/>
      <c r="I70" s="99"/>
      <c r="J70" s="100"/>
      <c r="K70" s="96"/>
    </row>
    <row r="71" spans="1:11" x14ac:dyDescent="0.2">
      <c r="A71" s="24" t="str">
        <f>VLOOKUP("&lt;Zeilentitel_44.6&gt;",Uebersetzungen!$B$4:$E$88,Uebersetzungen!$B$2+1,FALSE)</f>
        <v>Afrikanischer Kontinent</v>
      </c>
      <c r="B71" s="5"/>
      <c r="C71" s="13">
        <v>1985</v>
      </c>
      <c r="D71" s="17">
        <v>2482</v>
      </c>
      <c r="E71" s="10">
        <f t="shared" si="1"/>
        <v>-0.20024174053182919</v>
      </c>
      <c r="F71" s="44">
        <v>0.48200686874720011</v>
      </c>
      <c r="G71" s="29"/>
      <c r="H71" s="98"/>
      <c r="I71" s="99"/>
      <c r="J71" s="100"/>
      <c r="K71" s="96"/>
    </row>
    <row r="72" spans="1:11" x14ac:dyDescent="0.2">
      <c r="A72" s="24" t="str">
        <f>VLOOKUP("&lt;Zeilentitel_44.7&gt;",Uebersetzungen!$B$4:$E$88,Uebersetzungen!$B$2+1,FALSE)</f>
        <v>Südosteuropa</v>
      </c>
      <c r="B72" s="5"/>
      <c r="C72" s="13">
        <v>8998</v>
      </c>
      <c r="D72" s="17">
        <v>6216</v>
      </c>
      <c r="E72" s="10">
        <f>C72/D72-1</f>
        <v>0.44755469755469757</v>
      </c>
      <c r="F72" s="44">
        <v>1.0159519648698305</v>
      </c>
      <c r="G72" s="29"/>
      <c r="H72" s="98"/>
      <c r="I72" s="99"/>
      <c r="J72" s="100"/>
      <c r="K72" s="96"/>
    </row>
    <row r="73" spans="1:11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46" t="s">
        <v>41</v>
      </c>
      <c r="G73" s="29"/>
      <c r="H73" s="98"/>
      <c r="I73" s="99"/>
      <c r="J73" s="100"/>
      <c r="K73" s="96"/>
    </row>
    <row r="74" spans="1:11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722789</v>
      </c>
      <c r="D74" s="40">
        <v>720367</v>
      </c>
      <c r="E74" s="65">
        <f>C74/D74-1</f>
        <v>3.3621751135184397E-3</v>
      </c>
      <c r="F74" s="66">
        <v>0.17762805026273809</v>
      </c>
      <c r="G74" s="29"/>
      <c r="H74" s="36"/>
      <c r="I74" s="37"/>
      <c r="J74" s="37"/>
      <c r="K74" s="96"/>
    </row>
    <row r="75" spans="1:11" x14ac:dyDescent="0.2">
      <c r="G75" s="96"/>
      <c r="H75" s="96"/>
      <c r="I75" s="96"/>
      <c r="J75" s="96"/>
      <c r="K75" s="96"/>
    </row>
    <row r="76" spans="1:11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1" ht="10.5" customHeight="1" x14ac:dyDescent="0.2"/>
    <row r="79" spans="1:11" ht="18" x14ac:dyDescent="0.25">
      <c r="A79" s="2" t="str">
        <f>VLOOKUP("&lt;Titel3&gt;",Uebersetzungen!$B$4:$E$31,Uebersetzungen!$B$2+1,FALSE)</f>
        <v>Hotel- und Kurbetriebe: Logiernächte im Januar 2025, nach Schweizer Tourismusregionen</v>
      </c>
      <c r="B79" s="3"/>
      <c r="C79" s="3"/>
      <c r="D79" s="3"/>
      <c r="E79" s="3"/>
      <c r="F79" s="3"/>
    </row>
    <row r="80" spans="1:11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1" ht="18.75" customHeight="1" thickBot="1" x14ac:dyDescent="0.3">
      <c r="A81" s="50"/>
      <c r="G81" s="96"/>
      <c r="H81" s="96"/>
      <c r="I81" s="96"/>
      <c r="J81" s="96"/>
      <c r="K81" s="96"/>
    </row>
    <row r="82" spans="1:11" ht="51" customHeight="1" x14ac:dyDescent="0.2">
      <c r="A82" s="8"/>
      <c r="B82" s="9"/>
      <c r="C82" s="20" t="str">
        <f>VLOOKUP("&lt;SpaltenTitel_1&gt;",Uebersetzungen!$B$4:$E$34,Uebersetzungen!$B$2+1,FALSE)</f>
        <v>Januar 2025</v>
      </c>
      <c r="D82" s="21" t="str">
        <f>VLOOKUP("&lt;SpaltenTitel_2&gt;",Uebersetzungen!$B$4:$E$34,Uebersetzungen!$B$2+1,FALSE)</f>
        <v>Januar 2024</v>
      </c>
      <c r="E82" s="22" t="str">
        <f>VLOOKUP("&lt;SpaltenTitel_3&gt;",Uebersetzungen!$B$4:$E$34,Uebersetzungen!$B$2+1,FALSE)</f>
        <v>Veränderung 25/24 in %</v>
      </c>
      <c r="F82" s="23" t="str">
        <f>VLOOKUP("&lt;SpaltenTitel_4&gt;",Uebersetzungen!$B$4:$E$34,Uebersetzungen!$B$2+1,FALSE)</f>
        <v>Veränderung zum
5-Jahresmittel 
in %</v>
      </c>
      <c r="G82" s="97"/>
      <c r="H82" s="97"/>
      <c r="I82" s="97"/>
      <c r="J82" s="97"/>
      <c r="K82" s="96"/>
    </row>
    <row r="83" spans="1:11" x14ac:dyDescent="0.2">
      <c r="A83" s="24" t="str">
        <f>VLOOKUP("&lt;Zeilentitel_49&gt;",Uebersetzungen!$B$4:$E$88,Uebersetzungen!$B$2+1,FALSE)</f>
        <v>Aargau und Solothurn Region</v>
      </c>
      <c r="B83" s="5"/>
      <c r="C83" s="13">
        <v>73301</v>
      </c>
      <c r="D83" s="17">
        <v>71052</v>
      </c>
      <c r="E83" s="10">
        <f>C83/D83-1</f>
        <v>3.1652873951472094E-2</v>
      </c>
      <c r="F83" s="44">
        <v>0.29804286847622818</v>
      </c>
      <c r="G83" s="29"/>
      <c r="H83" s="98"/>
      <c r="I83" s="99"/>
      <c r="J83" s="100"/>
      <c r="K83" s="96"/>
    </row>
    <row r="84" spans="1:11" x14ac:dyDescent="0.2">
      <c r="A84" s="24" t="str">
        <f>VLOOKUP("&lt;Zeilentitel_50&gt;",Uebersetzungen!$B$4:$E$88,Uebersetzungen!$B$2+1,FALSE)</f>
        <v>Basel Region</v>
      </c>
      <c r="B84" s="5"/>
      <c r="C84" s="13">
        <v>104289</v>
      </c>
      <c r="D84" s="17">
        <v>100686</v>
      </c>
      <c r="E84" s="10">
        <f t="shared" ref="E84:E96" si="2">C84/D84-1</f>
        <v>3.5784518205112859E-2</v>
      </c>
      <c r="F84" s="44">
        <v>0.38521186812135899</v>
      </c>
      <c r="G84" s="29"/>
      <c r="H84" s="98"/>
      <c r="I84" s="99"/>
      <c r="J84" s="100"/>
      <c r="K84" s="96"/>
    </row>
    <row r="85" spans="1:11" x14ac:dyDescent="0.2">
      <c r="A85" s="24" t="str">
        <f>VLOOKUP("&lt;Zeilentitel_51&gt;",Uebersetzungen!$B$4:$E$88,Uebersetzungen!$B$2+1,FALSE)</f>
        <v>Bern Region</v>
      </c>
      <c r="B85" s="5"/>
      <c r="C85" s="13">
        <v>401977</v>
      </c>
      <c r="D85" s="17">
        <v>400115</v>
      </c>
      <c r="E85" s="10">
        <f t="shared" si="2"/>
        <v>4.6536620721542299E-3</v>
      </c>
      <c r="F85" s="44">
        <v>0.21738906588813922</v>
      </c>
      <c r="G85" s="29"/>
      <c r="H85" s="98"/>
      <c r="I85" s="99"/>
      <c r="J85" s="100"/>
      <c r="K85" s="96"/>
    </row>
    <row r="86" spans="1:11" x14ac:dyDescent="0.2">
      <c r="A86" s="24" t="str">
        <f>VLOOKUP("&lt;Zeilentitel_52&gt;",Uebersetzungen!$B$4:$E$88,Uebersetzungen!$B$2+1,FALSE)</f>
        <v>Fribourg Region</v>
      </c>
      <c r="B86" s="5"/>
      <c r="C86" s="13">
        <v>27685</v>
      </c>
      <c r="D86" s="17">
        <v>30059</v>
      </c>
      <c r="E86" s="10">
        <f t="shared" si="2"/>
        <v>-7.8978009913836078E-2</v>
      </c>
      <c r="F86" s="44">
        <v>0.21009336317224969</v>
      </c>
      <c r="G86" s="29"/>
      <c r="H86" s="98"/>
      <c r="I86" s="99"/>
      <c r="J86" s="100"/>
      <c r="K86" s="96"/>
    </row>
    <row r="87" spans="1:11" x14ac:dyDescent="0.2">
      <c r="A87" s="24" t="str">
        <f>VLOOKUP("&lt;Zeilentitel_53&gt;",Uebersetzungen!$B$4:$E$88,Uebersetzungen!$B$2+1,FALSE)</f>
        <v>Genf</v>
      </c>
      <c r="B87" s="5"/>
      <c r="C87" s="13">
        <v>268402</v>
      </c>
      <c r="D87" s="17">
        <v>245054</v>
      </c>
      <c r="E87" s="10">
        <f t="shared" si="2"/>
        <v>9.5276959364058555E-2</v>
      </c>
      <c r="F87" s="44">
        <v>0.56649865646310138</v>
      </c>
      <c r="G87" s="29"/>
      <c r="H87" s="98"/>
      <c r="I87" s="99"/>
      <c r="J87" s="100"/>
      <c r="K87" s="96"/>
    </row>
    <row r="88" spans="1:11" x14ac:dyDescent="0.2">
      <c r="A88" s="106" t="str">
        <f>VLOOKUP("&lt;Zeilentitel_54&gt;",Uebersetzungen!$B$4:$E$88,Uebersetzungen!$B$2+1,FALSE)</f>
        <v>Graubünden</v>
      </c>
      <c r="B88" s="60"/>
      <c r="C88" s="61">
        <v>722789</v>
      </c>
      <c r="D88" s="62">
        <v>720367</v>
      </c>
      <c r="E88" s="63">
        <f t="shared" si="2"/>
        <v>3.3621751135184397E-3</v>
      </c>
      <c r="F88" s="64">
        <v>0.17762805026273809</v>
      </c>
      <c r="G88" s="29"/>
      <c r="H88" s="98"/>
      <c r="I88" s="99"/>
      <c r="J88" s="100"/>
      <c r="K88" s="96"/>
    </row>
    <row r="89" spans="1:11" x14ac:dyDescent="0.2">
      <c r="A89" s="24" t="str">
        <f>VLOOKUP("&lt;Zeilentitel_55&gt;",Uebersetzungen!$B$4:$E$88,Uebersetzungen!$B$2+1,FALSE)</f>
        <v>Jura &amp; Drei-Seen-Land</v>
      </c>
      <c r="B89" s="5"/>
      <c r="C89" s="13">
        <v>29050</v>
      </c>
      <c r="D89" s="17">
        <v>27919</v>
      </c>
      <c r="E89" s="10">
        <f t="shared" si="2"/>
        <v>4.0510046921451437E-2</v>
      </c>
      <c r="F89" s="44">
        <v>0.2005322841934738</v>
      </c>
      <c r="G89" s="29"/>
      <c r="H89" s="98"/>
      <c r="I89" s="99"/>
      <c r="J89" s="100"/>
      <c r="K89" s="96"/>
    </row>
    <row r="90" spans="1:11" x14ac:dyDescent="0.2">
      <c r="A90" s="24" t="str">
        <f>VLOOKUP("&lt;Zeilentitel_56&gt;",Uebersetzungen!$B$4:$E$88,Uebersetzungen!$B$2+1,FALSE)</f>
        <v>Luzern / Vierwaldstättersee</v>
      </c>
      <c r="B90" s="5"/>
      <c r="C90" s="13">
        <v>243333</v>
      </c>
      <c r="D90" s="17">
        <v>226191</v>
      </c>
      <c r="E90" s="10">
        <f t="shared" si="2"/>
        <v>7.5785508707242988E-2</v>
      </c>
      <c r="F90" s="44">
        <v>0.27647553779911549</v>
      </c>
      <c r="G90" s="29"/>
      <c r="H90" s="98"/>
      <c r="I90" s="99"/>
      <c r="J90" s="100"/>
      <c r="K90" s="96"/>
    </row>
    <row r="91" spans="1:11" x14ac:dyDescent="0.2">
      <c r="A91" s="24" t="str">
        <f>VLOOKUP("&lt;Zeilentitel_57&gt;",Uebersetzungen!$B$4:$E$88,Uebersetzungen!$B$2+1,FALSE)</f>
        <v>Ostschweiz</v>
      </c>
      <c r="B91" s="5"/>
      <c r="C91" s="13">
        <v>121964</v>
      </c>
      <c r="D91" s="17">
        <v>123413</v>
      </c>
      <c r="E91" s="10">
        <f t="shared" si="2"/>
        <v>-1.1741064555597869E-2</v>
      </c>
      <c r="F91" s="44">
        <v>0.17980049682327182</v>
      </c>
      <c r="G91" s="29"/>
      <c r="H91" s="98"/>
      <c r="I91" s="99"/>
      <c r="J91" s="100"/>
      <c r="K91" s="96"/>
    </row>
    <row r="92" spans="1:11" x14ac:dyDescent="0.2">
      <c r="A92" s="24" t="str">
        <f>VLOOKUP("&lt;Zeilentitel_58&gt;",Uebersetzungen!$B$4:$E$88,Uebersetzungen!$B$2+1,FALSE)</f>
        <v>Tessin</v>
      </c>
      <c r="B92" s="5"/>
      <c r="C92" s="13">
        <v>62270</v>
      </c>
      <c r="D92" s="17">
        <v>60763</v>
      </c>
      <c r="E92" s="10">
        <f t="shared" si="2"/>
        <v>2.4801277092967755E-2</v>
      </c>
      <c r="F92" s="44">
        <v>0.12354482270834377</v>
      </c>
      <c r="G92" s="29"/>
      <c r="H92" s="98"/>
      <c r="I92" s="99"/>
      <c r="J92" s="100"/>
      <c r="K92" s="96"/>
    </row>
    <row r="93" spans="1:11" x14ac:dyDescent="0.2">
      <c r="A93" s="24" t="str">
        <f>VLOOKUP("&lt;Zeilentitel_59&gt;",Uebersetzungen!$B$4:$E$88,Uebersetzungen!$B$2+1,FALSE)</f>
        <v>Waadt</v>
      </c>
      <c r="B93" s="5"/>
      <c r="C93" s="13">
        <v>184591</v>
      </c>
      <c r="D93" s="17">
        <v>169158</v>
      </c>
      <c r="E93" s="10">
        <f t="shared" si="2"/>
        <v>9.123423071920933E-2</v>
      </c>
      <c r="F93" s="44">
        <v>0.22836612685128976</v>
      </c>
      <c r="G93" s="29"/>
      <c r="H93" s="98"/>
      <c r="I93" s="99"/>
      <c r="J93" s="100"/>
      <c r="K93" s="96"/>
    </row>
    <row r="94" spans="1:11" x14ac:dyDescent="0.2">
      <c r="A94" s="24" t="str">
        <f>VLOOKUP("&lt;Zeilentitel_60&gt;",Uebersetzungen!$B$4:$E$88,Uebersetzungen!$B$2+1,FALSE)</f>
        <v>Wallis</v>
      </c>
      <c r="B94" s="5"/>
      <c r="C94" s="32">
        <v>474701</v>
      </c>
      <c r="D94" s="17">
        <v>471006</v>
      </c>
      <c r="E94" s="33">
        <f t="shared" si="2"/>
        <v>7.8449106805433821E-3</v>
      </c>
      <c r="F94" s="44">
        <v>0.17089680096966919</v>
      </c>
      <c r="G94" s="29"/>
      <c r="H94" s="98"/>
      <c r="I94" s="99"/>
      <c r="J94" s="100"/>
      <c r="K94" s="96"/>
    </row>
    <row r="95" spans="1:11" x14ac:dyDescent="0.2">
      <c r="A95" s="24" t="str">
        <f>VLOOKUP("&lt;Zeilentitel_61&gt;",Uebersetzungen!$B$4:$E$88,Uebersetzungen!$B$2+1,FALSE)</f>
        <v>Zürich Region</v>
      </c>
      <c r="B95" s="7"/>
      <c r="C95" s="42">
        <v>484097</v>
      </c>
      <c r="D95" s="18">
        <v>434187</v>
      </c>
      <c r="E95" s="43">
        <f t="shared" si="2"/>
        <v>0.11495047064974306</v>
      </c>
      <c r="F95" s="48">
        <v>0.51126163812910819</v>
      </c>
      <c r="G95" s="29"/>
      <c r="H95" s="98"/>
      <c r="I95" s="99"/>
      <c r="J95" s="99"/>
      <c r="K95" s="96"/>
    </row>
    <row r="96" spans="1:11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3198449</v>
      </c>
      <c r="D96" s="40">
        <v>3079970</v>
      </c>
      <c r="E96" s="41">
        <f t="shared" si="2"/>
        <v>3.8467582476452655E-2</v>
      </c>
      <c r="F96" s="45">
        <v>0.26943716501366666</v>
      </c>
      <c r="G96" s="29"/>
      <c r="H96" s="36"/>
      <c r="I96" s="37"/>
      <c r="J96" s="38"/>
      <c r="K96" s="96"/>
    </row>
    <row r="97" spans="1:11" x14ac:dyDescent="0.2">
      <c r="A97" s="34"/>
      <c r="B97" s="35"/>
      <c r="C97" s="29"/>
      <c r="D97" s="36"/>
      <c r="E97" s="37"/>
      <c r="F97" s="38"/>
      <c r="G97" s="96"/>
      <c r="H97" s="96"/>
      <c r="I97" s="96"/>
      <c r="J97" s="96"/>
      <c r="K97" s="96"/>
    </row>
    <row r="98" spans="1:11" x14ac:dyDescent="0.2">
      <c r="A98" s="4" t="str">
        <f>VLOOKUP("&lt;Quelle_1&gt;",Uebersetzungen!$B$4:$E$97,Uebersetzungen!$B$2+1,FALSE)</f>
        <v>Quelle: BFS (HESTA)</v>
      </c>
    </row>
    <row r="99" spans="1:11" ht="12.75" customHeight="1" x14ac:dyDescent="0.2">
      <c r="A99" s="4" t="str">
        <f>VLOOKUP("&lt;Aktualisierung&gt;",Uebersetzungen!$B$4:$E$97,Uebersetzungen!$B$2+1,FALSE)</f>
        <v>Letztmals aktualisiert am: 25.02.2026</v>
      </c>
    </row>
    <row r="100" spans="1:11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11" x14ac:dyDescent="0.2">
      <c r="A101" s="31" t="str">
        <f>VLOOKUP("&lt;Legende_3&gt;",Uebersetzungen!$B$4:$E$97,Uebersetzungen!$B$2+1,FALSE)</f>
        <v>Daten des Februar 2025 erscheinen am 4. April 2025.</v>
      </c>
    </row>
    <row r="103" spans="1:11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B00-000000000000}"/>
    <hyperlink ref="E76" location="Länder_Pajais_Paesi!A1" display="Länder / Pajais / Paese" xr:uid="{00000000-0004-0000-0B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Option Button 1">
              <controlPr defaultSize="0" autoFill="0" autoLine="0" autoPict="0">
                <anchor moveWithCells="1">
                  <from>
                    <xdr:col>6</xdr:col>
                    <xdr:colOff>76200</xdr:colOff>
                    <xdr:row>1</xdr:row>
                    <xdr:rowOff>114300</xdr:rowOff>
                  </from>
                  <to>
                    <xdr:col>7</xdr:col>
                    <xdr:colOff>400050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Option Button 2">
              <controlPr defaultSize="0" autoFill="0" autoLine="0" autoPict="0">
                <anchor moveWithCells="1">
                  <from>
                    <xdr:col>6</xdr:col>
                    <xdr:colOff>76200</xdr:colOff>
                    <xdr:row>2</xdr:row>
                    <xdr:rowOff>104775</xdr:rowOff>
                  </from>
                  <to>
                    <xdr:col>8</xdr:col>
                    <xdr:colOff>47625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Option Button 3">
              <controlPr defaultSize="0" autoFill="0" autoLine="0" autoPict="0">
                <anchor moveWithCells="1">
                  <from>
                    <xdr:col>6</xdr:col>
                    <xdr:colOff>76200</xdr:colOff>
                    <xdr:row>3</xdr:row>
                    <xdr:rowOff>66675</xdr:rowOff>
                  </from>
                  <to>
                    <xdr:col>7</xdr:col>
                    <xdr:colOff>400050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2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3" width="42.140625" style="4" customWidth="1"/>
    <col min="4" max="4" width="13.28515625" style="4" customWidth="1"/>
    <col min="5" max="5" width="12.5703125" style="4" customWidth="1"/>
    <col min="6" max="6" width="15.5703125" style="4" bestFit="1" customWidth="1"/>
    <col min="7" max="7" width="11.28515625" style="4" bestFit="1" customWidth="1"/>
    <col min="8" max="8" width="10.7109375" style="4" bestFit="1" customWidth="1"/>
    <col min="9" max="9" width="12.5703125" style="4" customWidth="1"/>
    <col min="10" max="10" width="15.5703125" style="4" bestFit="1" customWidth="1"/>
    <col min="11" max="16384" width="11.42578125" style="4"/>
  </cols>
  <sheetData>
    <row r="1" spans="1:11" s="68" customFormat="1" x14ac:dyDescent="0.2"/>
    <row r="2" spans="1:11" s="68" customFormat="1" ht="15.75" x14ac:dyDescent="0.25">
      <c r="B2" s="69"/>
      <c r="C2" s="4"/>
      <c r="D2" s="4"/>
    </row>
    <row r="3" spans="1:11" s="68" customFormat="1" ht="15.75" x14ac:dyDescent="0.25">
      <c r="B3" s="69"/>
      <c r="C3" s="4"/>
      <c r="D3" s="4"/>
    </row>
    <row r="4" spans="1:11" s="68" customFormat="1" ht="15.75" x14ac:dyDescent="0.25">
      <c r="B4" s="69"/>
      <c r="C4" s="4"/>
      <c r="D4" s="4"/>
    </row>
    <row r="5" spans="1:11" s="68" customFormat="1" x14ac:dyDescent="0.2"/>
    <row r="6" spans="1:11" s="68" customFormat="1" x14ac:dyDescent="0.2"/>
    <row r="7" spans="1:11" ht="15.75" customHeight="1" x14ac:dyDescent="0.2">
      <c r="A7" s="136" t="str">
        <f>VLOOKUP("&lt;Fachbereich&gt;",Uebersetzungen!$B$4:$E$33,Uebersetzungen!$B$2+1,FALSE)</f>
        <v>Daten &amp; Statistik</v>
      </c>
      <c r="B7" s="136"/>
      <c r="C7" s="136"/>
      <c r="D7" s="136"/>
      <c r="E7" s="120"/>
      <c r="F7" s="1"/>
    </row>
    <row r="8" spans="1:11" ht="10.5" customHeight="1" x14ac:dyDescent="0.2"/>
    <row r="9" spans="1:11" ht="18" x14ac:dyDescent="0.25">
      <c r="A9" s="2" t="str">
        <f>VLOOKUP("&lt;T13Titel1&gt;",Uebersetzungen!$B$4:$E$432,Uebersetzungen!$B$2+1,FALSE)</f>
        <v>Aktuelle Zuordnung der übrigen Länder zu den Ländergruppen:</v>
      </c>
      <c r="B9" s="3"/>
      <c r="C9" s="3"/>
      <c r="D9" s="3"/>
      <c r="E9" s="3"/>
      <c r="F9" s="3"/>
    </row>
    <row r="10" spans="1:11" s="119" customFormat="1" x14ac:dyDescent="0.2">
      <c r="A10" s="116"/>
      <c r="B10" s="117"/>
      <c r="C10" s="118"/>
      <c r="D10" s="118"/>
      <c r="E10" s="118"/>
      <c r="F10" s="118"/>
      <c r="G10" s="118"/>
    </row>
    <row r="11" spans="1:11" ht="13.5" thickBot="1" x14ac:dyDescent="0.25">
      <c r="D11" s="96"/>
      <c r="E11" s="96"/>
      <c r="F11" s="96"/>
      <c r="G11" s="96"/>
      <c r="H11" s="96"/>
      <c r="I11" s="96"/>
      <c r="J11" s="96"/>
      <c r="K11" s="96"/>
    </row>
    <row r="12" spans="1:11" ht="51" customHeight="1" x14ac:dyDescent="0.2">
      <c r="A12" s="128" t="str">
        <f>VLOOKUP("&lt;T13SpaltenTitel_1&gt;",Uebersetzungen!$B$4:$E$435,Uebersetzungen!$B$2+1,FALSE)</f>
        <v>Land</v>
      </c>
      <c r="B12" s="9"/>
      <c r="C12" s="126" t="str">
        <f>VLOOKUP("&lt;T13SpaltenTitel_2&gt;",Uebersetzungen!$B$4:$E$435,Uebersetzungen!$B$2+1,FALSE)</f>
        <v>Ländergruppe</v>
      </c>
      <c r="D12" s="125"/>
      <c r="E12" s="97"/>
      <c r="F12" s="97"/>
      <c r="G12" s="97"/>
      <c r="H12" s="97"/>
      <c r="I12" s="97"/>
      <c r="J12" s="97"/>
      <c r="K12" s="96"/>
    </row>
    <row r="13" spans="1:11" x14ac:dyDescent="0.2">
      <c r="A13" s="24" t="str">
        <f>VLOOKUP("&lt;T13Zeilentitel_1&gt;",Uebersetzungen!$B$4:$E$588,Uebersetzungen!$B$2+1,FALSE)</f>
        <v>Ägypten</v>
      </c>
      <c r="B13" s="5"/>
      <c r="C13" s="127" t="str">
        <f>VLOOKUP("&lt;Zeilentitel_44.6&gt;",Uebersetzungen!$B$4:$E$88,Uebersetzungen!$B$2+1,FALSE)</f>
        <v>Afrikanischer Kontinent</v>
      </c>
      <c r="D13" s="98"/>
      <c r="E13" s="99"/>
      <c r="F13" s="130"/>
      <c r="G13" s="29"/>
      <c r="H13" s="98"/>
      <c r="I13" s="99"/>
      <c r="J13" s="100"/>
      <c r="K13" s="96"/>
    </row>
    <row r="14" spans="1:11" x14ac:dyDescent="0.2">
      <c r="A14" s="24" t="str">
        <f>VLOOKUP("&lt;T13Zeilentitel_2&gt;",Uebersetzungen!$B$4:$E$588,Uebersetzungen!$B$2+1,FALSE)</f>
        <v>Argentinien</v>
      </c>
      <c r="B14" s="5"/>
      <c r="C14" s="127" t="str">
        <f>VLOOKUP("&lt;Zeilentitel_44.5&gt;",Uebersetzungen!$B$4:$E$88,Uebersetzungen!$B$2+1,FALSE)</f>
        <v>übriges Zentral- und Südamerika</v>
      </c>
      <c r="D14" s="98"/>
      <c r="E14" s="99"/>
      <c r="F14" s="130"/>
      <c r="G14" s="29"/>
      <c r="H14" s="98"/>
      <c r="I14" s="99"/>
      <c r="J14" s="100"/>
      <c r="K14" s="96"/>
    </row>
    <row r="15" spans="1:11" x14ac:dyDescent="0.2">
      <c r="A15" s="24" t="str">
        <f>VLOOKUP("&lt;T13Zeilentitel_3&gt;",Uebersetzungen!$B$4:$E$588,Uebersetzungen!$B$2+1,FALSE)</f>
        <v>Australien</v>
      </c>
      <c r="B15" s="5"/>
      <c r="C15" s="127" t="str">
        <f>VLOOKUP("&lt;Zeilentitel_44.9&gt;",Uebersetzungen!$B$4:$E$88,Uebersetzungen!$B$2+1,FALSE)</f>
        <v>einzeln ausgewiesen</v>
      </c>
      <c r="D15" s="98"/>
      <c r="E15" s="99"/>
      <c r="F15" s="130"/>
      <c r="G15" s="29"/>
      <c r="H15" s="98"/>
      <c r="I15" s="99"/>
      <c r="J15" s="100"/>
      <c r="K15" s="96"/>
    </row>
    <row r="16" spans="1:11" x14ac:dyDescent="0.2">
      <c r="A16" s="24" t="str">
        <f>VLOOKUP("&lt;T13Zeilentitel_4&gt;",Uebersetzungen!$B$4:$E$588,Uebersetzungen!$B$2+1,FALSE)</f>
        <v>Bahrain</v>
      </c>
      <c r="B16" s="5"/>
      <c r="C16" s="127" t="str">
        <f>VLOOKUP("&lt;Zeilentitel_44.1&gt;",Uebersetzungen!$B$4:$E$88,Uebersetzungen!$B$2+1,FALSE)</f>
        <v>übrige Golfstaaten</v>
      </c>
      <c r="D16" s="98"/>
      <c r="E16" s="99"/>
      <c r="F16" s="130"/>
      <c r="G16" s="29"/>
      <c r="H16" s="98"/>
      <c r="I16" s="99"/>
      <c r="J16" s="100"/>
      <c r="K16" s="96"/>
    </row>
    <row r="17" spans="1:11" x14ac:dyDescent="0.2">
      <c r="A17" s="24" t="str">
        <f>VLOOKUP("&lt;T13Zeilentitel_5&gt;",Uebersetzungen!$B$4:$E$588,Uebersetzungen!$B$2+1,FALSE)</f>
        <v>Belarus</v>
      </c>
      <c r="B17" s="5"/>
      <c r="C17" s="127" t="str">
        <f>VLOOKUP("&lt;Zeilentitel_44.4&gt;",Uebersetzungen!$B$4:$E$88,Uebersetzungen!$B$2+1,FALSE)</f>
        <v>übriges Osteuropa</v>
      </c>
      <c r="D17" s="98"/>
      <c r="E17" s="99"/>
      <c r="F17" s="130"/>
      <c r="G17" s="29"/>
      <c r="H17" s="98"/>
      <c r="I17" s="99"/>
      <c r="J17" s="100"/>
      <c r="K17" s="96"/>
    </row>
    <row r="18" spans="1:11" x14ac:dyDescent="0.2">
      <c r="A18" s="24" t="str">
        <f>VLOOKUP("&lt;T13Zeilentitel_6&gt;",Uebersetzungen!$B$4:$E$588,Uebersetzungen!$B$2+1,FALSE)</f>
        <v>Belgien</v>
      </c>
      <c r="B18" s="5"/>
      <c r="C18" s="127" t="str">
        <f>VLOOKUP("&lt;Zeilentitel_44.9&gt;",Uebersetzungen!$B$4:$E$88,Uebersetzungen!$B$2+1,FALSE)</f>
        <v>einzeln ausgewiesen</v>
      </c>
      <c r="D18" s="98"/>
      <c r="E18" s="99"/>
      <c r="F18" s="130"/>
      <c r="G18" s="29"/>
      <c r="H18" s="98"/>
      <c r="I18" s="99"/>
      <c r="J18" s="100"/>
      <c r="K18" s="96"/>
    </row>
    <row r="19" spans="1:11" x14ac:dyDescent="0.2">
      <c r="A19" s="24" t="str">
        <f>VLOOKUP("&lt;T13Zeilentitel_7&gt;",Uebersetzungen!$B$4:$E$588,Uebersetzungen!$B$2+1,FALSE)</f>
        <v>Brasilien</v>
      </c>
      <c r="B19" s="5"/>
      <c r="C19" s="127" t="str">
        <f>VLOOKUP("&lt;Zeilentitel_44.9&gt;",Uebersetzungen!$B$4:$E$88,Uebersetzungen!$B$2+1,FALSE)</f>
        <v>einzeln ausgewiesen</v>
      </c>
      <c r="D19" s="98"/>
      <c r="E19" s="99"/>
      <c r="F19" s="130"/>
      <c r="G19" s="29"/>
      <c r="H19" s="98"/>
      <c r="I19" s="99"/>
      <c r="J19" s="100"/>
      <c r="K19" s="96"/>
    </row>
    <row r="20" spans="1:11" x14ac:dyDescent="0.2">
      <c r="A20" s="24" t="str">
        <f>VLOOKUP("&lt;T13Zeilentitel_8&gt;",Uebersetzungen!$B$4:$E$588,Uebersetzungen!$B$2+1,FALSE)</f>
        <v>Bulgarien</v>
      </c>
      <c r="B20" s="5"/>
      <c r="C20" s="127" t="str">
        <f>VLOOKUP("&lt;Zeilentitel_44.4&gt;",Uebersetzungen!$B$4:$E$88,Uebersetzungen!$B$2+1,FALSE)</f>
        <v>übriges Osteuropa</v>
      </c>
      <c r="D20" s="98"/>
      <c r="E20" s="99"/>
      <c r="F20" s="130"/>
      <c r="G20" s="29"/>
      <c r="H20" s="98"/>
      <c r="I20" s="99"/>
      <c r="J20" s="100"/>
      <c r="K20" s="96"/>
    </row>
    <row r="21" spans="1:11" x14ac:dyDescent="0.2">
      <c r="A21" s="24" t="str">
        <f>VLOOKUP("&lt;T13Zeilentitel_9&gt;",Uebersetzungen!$B$4:$E$588,Uebersetzungen!$B$2+1,FALSE)</f>
        <v>Chile</v>
      </c>
      <c r="B21" s="5"/>
      <c r="C21" s="127" t="str">
        <f>VLOOKUP("&lt;Zeilentitel_44.5&gt;",Uebersetzungen!$B$4:$E$88,Uebersetzungen!$B$2+1,FALSE)</f>
        <v>übriges Zentral- und Südamerika</v>
      </c>
      <c r="D21" s="98"/>
      <c r="E21" s="99"/>
      <c r="F21" s="130"/>
      <c r="G21" s="29"/>
      <c r="H21" s="98"/>
      <c r="I21" s="99"/>
      <c r="J21" s="100"/>
      <c r="K21" s="96"/>
    </row>
    <row r="22" spans="1:11" x14ac:dyDescent="0.2">
      <c r="A22" s="24" t="str">
        <f>VLOOKUP("&lt;T13Zeilentitel_10&gt;",Uebersetzungen!$B$4:$E$588,Uebersetzungen!$B$2+1,FALSE)</f>
        <v>China</v>
      </c>
      <c r="B22" s="5"/>
      <c r="C22" s="127" t="str">
        <f>VLOOKUP("&lt;Zeilentitel_44.9&gt;",Uebersetzungen!$B$4:$E$88,Uebersetzungen!$B$2+1,FALSE)</f>
        <v>einzeln ausgewiesen</v>
      </c>
      <c r="D22" s="98"/>
      <c r="E22" s="99"/>
      <c r="F22" s="130"/>
      <c r="G22" s="29"/>
      <c r="H22" s="98"/>
      <c r="I22" s="99"/>
      <c r="J22" s="100"/>
      <c r="K22" s="96"/>
    </row>
    <row r="23" spans="1:11" x14ac:dyDescent="0.2">
      <c r="A23" s="24" t="str">
        <f>VLOOKUP("&lt;T13Zeilentitel_11&gt;",Uebersetzungen!$B$4:$E$588,Uebersetzungen!$B$2+1,FALSE)</f>
        <v>Dänemark</v>
      </c>
      <c r="B23" s="5"/>
      <c r="C23" s="127" t="str">
        <f>VLOOKUP("&lt;Zeilentitel_44.9&gt;",Uebersetzungen!$B$4:$E$88,Uebersetzungen!$B$2+1,FALSE)</f>
        <v>einzeln ausgewiesen</v>
      </c>
      <c r="D23" s="98"/>
      <c r="E23" s="99"/>
      <c r="F23" s="100"/>
      <c r="G23" s="29"/>
      <c r="H23" s="98"/>
      <c r="I23" s="99"/>
      <c r="J23" s="100"/>
      <c r="K23" s="96"/>
    </row>
    <row r="24" spans="1:11" x14ac:dyDescent="0.2">
      <c r="A24" s="24" t="str">
        <f>VLOOKUP("&lt;T13Zeilentitel_12&gt;",Uebersetzungen!$B$4:$E$588,Uebersetzungen!$B$2+1,FALSE)</f>
        <v>Deutschland</v>
      </c>
      <c r="B24" s="5"/>
      <c r="C24" s="127" t="str">
        <f>VLOOKUP("&lt;Zeilentitel_44.9&gt;",Uebersetzungen!$B$4:$E$88,Uebersetzungen!$B$2+1,FALSE)</f>
        <v>einzeln ausgewiesen</v>
      </c>
      <c r="D24" s="98"/>
      <c r="E24" s="99"/>
      <c r="F24" s="100"/>
      <c r="G24" s="29"/>
      <c r="H24" s="98"/>
      <c r="I24" s="99"/>
      <c r="J24" s="100"/>
      <c r="K24" s="96"/>
    </row>
    <row r="25" spans="1:11" x14ac:dyDescent="0.2">
      <c r="A25" s="24" t="str">
        <f>VLOOKUP("&lt;T13Zeilentitel_13&gt;",Uebersetzungen!$B$4:$E$588,Uebersetzungen!$B$2+1,FALSE)</f>
        <v>Estland</v>
      </c>
      <c r="B25" s="5"/>
      <c r="C25" s="127" t="str">
        <f>VLOOKUP("&lt;Zeilentitel_44.4&gt;",Uebersetzungen!$B$4:$E$88,Uebersetzungen!$B$2+1,FALSE)</f>
        <v>übriges Osteuropa</v>
      </c>
      <c r="D25" s="98"/>
      <c r="E25" s="99"/>
      <c r="F25" s="100"/>
      <c r="G25" s="29"/>
      <c r="H25" s="98"/>
      <c r="I25" s="99"/>
      <c r="J25" s="100"/>
      <c r="K25" s="96"/>
    </row>
    <row r="26" spans="1:11" x14ac:dyDescent="0.2">
      <c r="A26" s="24" t="str">
        <f>VLOOKUP("&lt;T13Zeilentitel_14&gt;",Uebersetzungen!$B$4:$E$588,Uebersetzungen!$B$2+1,FALSE)</f>
        <v>Finnland</v>
      </c>
      <c r="B26" s="5"/>
      <c r="C26" s="127" t="str">
        <f>VLOOKUP("&lt;Zeilentitel_44.2&gt;",Uebersetzungen!$B$4:$E$88,Uebersetzungen!$B$2+1,FALSE)</f>
        <v>übriges West- und Nordeuropa</v>
      </c>
      <c r="D26" s="98"/>
      <c r="E26" s="99"/>
      <c r="F26" s="100"/>
      <c r="G26" s="29"/>
      <c r="H26" s="98"/>
      <c r="I26" s="99"/>
      <c r="J26" s="100"/>
      <c r="K26" s="96"/>
    </row>
    <row r="27" spans="1:11" x14ac:dyDescent="0.2">
      <c r="A27" s="24" t="str">
        <f>VLOOKUP("&lt;T13Zeilentitel_15&gt;",Uebersetzungen!$B$4:$E$588,Uebersetzungen!$B$2+1,FALSE)</f>
        <v>Frankreich</v>
      </c>
      <c r="B27" s="5"/>
      <c r="C27" s="127" t="str">
        <f>VLOOKUP("&lt;Zeilentitel_44.9&gt;",Uebersetzungen!$B$4:$E$88,Uebersetzungen!$B$2+1,FALSE)</f>
        <v>einzeln ausgewiesen</v>
      </c>
      <c r="D27" s="98"/>
      <c r="E27" s="99"/>
      <c r="F27" s="100"/>
      <c r="G27" s="29"/>
      <c r="H27" s="98"/>
      <c r="I27" s="99"/>
      <c r="J27" s="100"/>
      <c r="K27" s="96"/>
    </row>
    <row r="28" spans="1:11" x14ac:dyDescent="0.2">
      <c r="A28" s="24" t="str">
        <f>VLOOKUP("&lt;T13Zeilentitel_16&gt;",Uebersetzungen!$B$4:$E$588,Uebersetzungen!$B$2+1,FALSE)</f>
        <v>Griechenland</v>
      </c>
      <c r="B28" s="5"/>
      <c r="C28" s="127" t="str">
        <f>VLOOKUP("&lt;Zeilentitel_44.7&gt;",Uebersetzungen!$B$4:$E$88,Uebersetzungen!$B$2+1,FALSE)</f>
        <v>Südosteuropa</v>
      </c>
      <c r="D28" s="98"/>
      <c r="E28" s="99"/>
      <c r="F28" s="100"/>
      <c r="G28" s="29"/>
      <c r="H28" s="98"/>
      <c r="I28" s="99"/>
      <c r="J28" s="100"/>
      <c r="K28" s="96"/>
    </row>
    <row r="29" spans="1:11" x14ac:dyDescent="0.2">
      <c r="A29" s="24" t="str">
        <f>VLOOKUP("&lt;T13Zeilentitel_17&gt;",Uebersetzungen!$B$4:$E$588,Uebersetzungen!$B$2+1,FALSE)</f>
        <v>Hongkong</v>
      </c>
      <c r="B29" s="5"/>
      <c r="C29" s="127" t="str">
        <f>VLOOKUP("&lt;Zeilentitel_44.3&gt;",Uebersetzungen!$B$4:$E$88,Uebersetzungen!$B$2+1,FALSE)</f>
        <v>übriges Südostasien</v>
      </c>
      <c r="D29" s="98"/>
      <c r="E29" s="99"/>
      <c r="F29" s="100"/>
      <c r="G29" s="29"/>
      <c r="H29" s="98"/>
      <c r="I29" s="99"/>
      <c r="J29" s="100"/>
      <c r="K29" s="96"/>
    </row>
    <row r="30" spans="1:11" x14ac:dyDescent="0.2">
      <c r="A30" s="24" t="str">
        <f>VLOOKUP("&lt;T13Zeilentitel_18&gt;",Uebersetzungen!$B$4:$E$588,Uebersetzungen!$B$2+1,FALSE)</f>
        <v>Indien</v>
      </c>
      <c r="B30" s="5"/>
      <c r="C30" s="127" t="str">
        <f>VLOOKUP("&lt;Zeilentitel_44.9&gt;",Uebersetzungen!$B$4:$E$88,Uebersetzungen!$B$2+1,FALSE)</f>
        <v>einzeln ausgewiesen</v>
      </c>
      <c r="D30" s="98"/>
      <c r="E30" s="99"/>
      <c r="F30" s="100"/>
      <c r="G30" s="29"/>
      <c r="H30" s="98"/>
      <c r="I30" s="99"/>
      <c r="J30" s="100"/>
      <c r="K30" s="96"/>
    </row>
    <row r="31" spans="1:11" x14ac:dyDescent="0.2">
      <c r="A31" s="24" t="str">
        <f>VLOOKUP("&lt;T13Zeilentitel_19&gt;",Uebersetzungen!$B$4:$E$588,Uebersetzungen!$B$2+1,FALSE)</f>
        <v>Indonesien</v>
      </c>
      <c r="B31" s="5"/>
      <c r="C31" s="127" t="str">
        <f>VLOOKUP("&lt;Zeilentitel_44.3&gt;",Uebersetzungen!$B$4:$E$88,Uebersetzungen!$B$2+1,FALSE)</f>
        <v>übriges Südostasien</v>
      </c>
      <c r="D31" s="98"/>
      <c r="E31" s="99"/>
      <c r="F31" s="100"/>
      <c r="G31" s="29"/>
      <c r="H31" s="98"/>
      <c r="I31" s="99"/>
      <c r="J31" s="100"/>
      <c r="K31" s="96"/>
    </row>
    <row r="32" spans="1:11" x14ac:dyDescent="0.2">
      <c r="A32" s="24" t="str">
        <f>VLOOKUP("&lt;T13Zeilentitel_20&gt;",Uebersetzungen!$B$4:$E$588,Uebersetzungen!$B$2+1,FALSE)</f>
        <v>Iran</v>
      </c>
      <c r="B32" s="5"/>
      <c r="C32" s="127" t="str">
        <f>VLOOKUP("&lt;Zeilentitel_44.1&gt;",Uebersetzungen!$B$4:$E$88,Uebersetzungen!$B$2+1,FALSE)</f>
        <v>übrige Golfstaaten</v>
      </c>
      <c r="D32" s="98"/>
      <c r="E32" s="99"/>
      <c r="F32" s="100"/>
      <c r="G32" s="29"/>
      <c r="H32" s="98"/>
      <c r="I32" s="99"/>
      <c r="J32" s="100"/>
      <c r="K32" s="96"/>
    </row>
    <row r="33" spans="1:11" x14ac:dyDescent="0.2">
      <c r="A33" s="24" t="str">
        <f>VLOOKUP("&lt;T13Zeilentitel_21&gt;",Uebersetzungen!$B$4:$E$588,Uebersetzungen!$B$2+1,FALSE)</f>
        <v>Irland</v>
      </c>
      <c r="B33" s="5"/>
      <c r="C33" s="127" t="str">
        <f>VLOOKUP("&lt;Zeilentitel_44.2&gt;",Uebersetzungen!$B$4:$E$88,Uebersetzungen!$B$2+1,FALSE)</f>
        <v>übriges West- und Nordeuropa</v>
      </c>
      <c r="D33" s="98"/>
      <c r="E33" s="99"/>
      <c r="F33" s="100"/>
      <c r="G33" s="29"/>
      <c r="H33" s="98"/>
      <c r="I33" s="99"/>
      <c r="J33" s="100"/>
      <c r="K33" s="96"/>
    </row>
    <row r="34" spans="1:11" x14ac:dyDescent="0.2">
      <c r="A34" s="24" t="str">
        <f>VLOOKUP("&lt;T13Zeilentitel_22&gt;",Uebersetzungen!$B$4:$E$588,Uebersetzungen!$B$2+1,FALSE)</f>
        <v>Island</v>
      </c>
      <c r="B34" s="5"/>
      <c r="C34" s="127" t="str">
        <f>VLOOKUP("&lt;Zeilentitel_44.2&gt;",Uebersetzungen!$B$4:$E$88,Uebersetzungen!$B$2+1,FALSE)</f>
        <v>übriges West- und Nordeuropa</v>
      </c>
      <c r="D34" s="98"/>
      <c r="E34" s="99"/>
      <c r="F34" s="100"/>
      <c r="G34" s="29"/>
      <c r="H34" s="98"/>
      <c r="I34" s="99"/>
      <c r="J34" s="100"/>
      <c r="K34" s="96"/>
    </row>
    <row r="35" spans="1:11" x14ac:dyDescent="0.2">
      <c r="A35" s="24" t="str">
        <f>VLOOKUP("&lt;T13Zeilentitel_23&gt;",Uebersetzungen!$B$4:$E$588,Uebersetzungen!$B$2+1,FALSE)</f>
        <v>Israel</v>
      </c>
      <c r="B35" s="5"/>
      <c r="C35" s="127" t="str">
        <f>VLOOKUP("&lt;Zeilentitel_44.9&gt;",Uebersetzungen!$B$4:$E$88,Uebersetzungen!$B$2+1,FALSE)</f>
        <v>einzeln ausgewiesen</v>
      </c>
      <c r="D35" s="98"/>
      <c r="E35" s="99"/>
      <c r="F35" s="100"/>
      <c r="G35" s="29"/>
      <c r="H35" s="98"/>
      <c r="I35" s="99"/>
      <c r="J35" s="100"/>
      <c r="K35" s="96"/>
    </row>
    <row r="36" spans="1:11" x14ac:dyDescent="0.2">
      <c r="A36" s="24" t="str">
        <f>VLOOKUP("&lt;T13Zeilentitel_24&gt;",Uebersetzungen!$B$4:$E$588,Uebersetzungen!$B$2+1,FALSE)</f>
        <v>Italien</v>
      </c>
      <c r="B36" s="5"/>
      <c r="C36" s="127" t="str">
        <f>VLOOKUP("&lt;Zeilentitel_44.9&gt;",Uebersetzungen!$B$4:$E$88,Uebersetzungen!$B$2+1,FALSE)</f>
        <v>einzeln ausgewiesen</v>
      </c>
      <c r="D36" s="98"/>
      <c r="E36" s="99"/>
      <c r="F36" s="100"/>
      <c r="G36" s="29"/>
      <c r="H36" s="98"/>
      <c r="I36" s="99"/>
      <c r="J36" s="100"/>
      <c r="K36" s="96"/>
    </row>
    <row r="37" spans="1:11" x14ac:dyDescent="0.2">
      <c r="A37" s="24" t="str">
        <f>VLOOKUP("&lt;T13Zeilentitel_25&gt;",Uebersetzungen!$B$4:$E$588,Uebersetzungen!$B$2+1,FALSE)</f>
        <v>Japan</v>
      </c>
      <c r="B37" s="5"/>
      <c r="C37" s="127" t="str">
        <f>VLOOKUP("&lt;Zeilentitel_44.9&gt;",Uebersetzungen!$B$4:$E$88,Uebersetzungen!$B$2+1,FALSE)</f>
        <v>einzeln ausgewiesen</v>
      </c>
      <c r="D37" s="98"/>
      <c r="E37" s="99"/>
      <c r="F37" s="100"/>
      <c r="G37" s="29"/>
      <c r="H37" s="98"/>
      <c r="I37" s="99"/>
      <c r="J37" s="100"/>
      <c r="K37" s="96"/>
    </row>
    <row r="38" spans="1:11" x14ac:dyDescent="0.2">
      <c r="A38" s="24" t="str">
        <f>VLOOKUP("&lt;T13Zeilentitel_26&gt;",Uebersetzungen!$B$4:$E$588,Uebersetzungen!$B$2+1,FALSE)</f>
        <v>Kanada</v>
      </c>
      <c r="B38" s="5"/>
      <c r="C38" s="127" t="str">
        <f>VLOOKUP("&lt;Zeilentitel_44.9&gt;",Uebersetzungen!$B$4:$E$88,Uebersetzungen!$B$2+1,FALSE)</f>
        <v>einzeln ausgewiesen</v>
      </c>
      <c r="D38" s="98"/>
      <c r="E38" s="99"/>
      <c r="F38" s="100"/>
      <c r="G38" s="29"/>
      <c r="H38" s="98"/>
      <c r="I38" s="99"/>
      <c r="J38" s="100"/>
      <c r="K38" s="96"/>
    </row>
    <row r="39" spans="1:11" x14ac:dyDescent="0.2">
      <c r="A39" s="24" t="str">
        <f>VLOOKUP("&lt;T13Zeilentitel_27&gt;",Uebersetzungen!$B$4:$E$588,Uebersetzungen!$B$2+1,FALSE)</f>
        <v>Katar</v>
      </c>
      <c r="B39" s="5"/>
      <c r="C39" s="127" t="str">
        <f>VLOOKUP("&lt;Zeilentitel_44.1&gt;",Uebersetzungen!$B$4:$E$88,Uebersetzungen!$B$2+1,FALSE)</f>
        <v>übrige Golfstaaten</v>
      </c>
      <c r="D39" s="98"/>
      <c r="E39" s="99"/>
      <c r="F39" s="100"/>
      <c r="G39" s="29"/>
      <c r="H39" s="98"/>
      <c r="I39" s="99"/>
      <c r="J39" s="100"/>
      <c r="K39" s="96"/>
    </row>
    <row r="40" spans="1:11" x14ac:dyDescent="0.2">
      <c r="A40" s="24" t="str">
        <f>VLOOKUP("&lt;T13Zeilentitel_28&gt;",Uebersetzungen!$B$4:$E$588,Uebersetzungen!$B$2+1,FALSE)</f>
        <v>Korea (Süd-)</v>
      </c>
      <c r="B40" s="5"/>
      <c r="C40" s="127" t="str">
        <f>VLOOKUP("&lt;Zeilentitel_44.3&gt;",Uebersetzungen!$B$4:$E$88,Uebersetzungen!$B$2+1,FALSE)</f>
        <v>übriges Südostasien</v>
      </c>
      <c r="D40" s="98"/>
      <c r="E40" s="99"/>
      <c r="F40" s="100"/>
      <c r="G40" s="29"/>
      <c r="H40" s="98"/>
      <c r="I40" s="99"/>
      <c r="J40" s="100"/>
      <c r="K40" s="96"/>
    </row>
    <row r="41" spans="1:11" x14ac:dyDescent="0.2">
      <c r="A41" s="24" t="str">
        <f>VLOOKUP("&lt;T13Zeilentitel_29&gt;",Uebersetzungen!$B$4:$E$588,Uebersetzungen!$B$2+1,FALSE)</f>
        <v>Kroatien</v>
      </c>
      <c r="B41" s="5"/>
      <c r="C41" s="127" t="str">
        <f>VLOOKUP("&lt;Zeilentitel_44.7&gt;",Uebersetzungen!$B$4:$E$88,Uebersetzungen!$B$2+1,FALSE)</f>
        <v>Südosteuropa</v>
      </c>
      <c r="D41" s="98"/>
      <c r="E41" s="99"/>
      <c r="F41" s="100"/>
      <c r="G41" s="29"/>
      <c r="H41" s="98"/>
      <c r="I41" s="99"/>
      <c r="J41" s="100"/>
      <c r="K41" s="96"/>
    </row>
    <row r="42" spans="1:11" x14ac:dyDescent="0.2">
      <c r="A42" s="24" t="str">
        <f>VLOOKUP("&lt;T13Zeilentitel_30&gt;",Uebersetzungen!$B$4:$E$588,Uebersetzungen!$B$2+1,FALSE)</f>
        <v>Kuwait</v>
      </c>
      <c r="B42" s="5"/>
      <c r="C42" s="127" t="str">
        <f>VLOOKUP("&lt;Zeilentitel_44.1&gt;",Uebersetzungen!$B$4:$E$88,Uebersetzungen!$B$2+1,FALSE)</f>
        <v>übrige Golfstaaten</v>
      </c>
      <c r="D42" s="98"/>
      <c r="E42" s="99"/>
      <c r="F42" s="100"/>
      <c r="G42" s="29"/>
      <c r="H42" s="98"/>
      <c r="I42" s="99"/>
      <c r="J42" s="100"/>
      <c r="K42" s="96"/>
    </row>
    <row r="43" spans="1:11" x14ac:dyDescent="0.2">
      <c r="A43" s="24" t="str">
        <f>VLOOKUP("&lt;T13Zeilentitel_31&gt;",Uebersetzungen!$B$4:$E$588,Uebersetzungen!$B$2+1,FALSE)</f>
        <v>Lettland</v>
      </c>
      <c r="B43" s="5"/>
      <c r="C43" s="127" t="str">
        <f>VLOOKUP("&lt;Zeilentitel_44.4&gt;",Uebersetzungen!$B$4:$E$88,Uebersetzungen!$B$2+1,FALSE)</f>
        <v>übriges Osteuropa</v>
      </c>
      <c r="D43" s="98"/>
      <c r="E43" s="99"/>
      <c r="F43" s="100"/>
      <c r="G43" s="29"/>
      <c r="H43" s="98"/>
      <c r="I43" s="99"/>
      <c r="J43" s="100"/>
      <c r="K43" s="96"/>
    </row>
    <row r="44" spans="1:11" x14ac:dyDescent="0.2">
      <c r="A44" s="24" t="str">
        <f>VLOOKUP("&lt;T13Zeilentitel_32&gt;",Uebersetzungen!$B$4:$E$588,Uebersetzungen!$B$2+1,FALSE)</f>
        <v>Liechtenstein</v>
      </c>
      <c r="B44" s="5"/>
      <c r="C44" s="127" t="str">
        <f>VLOOKUP("&lt;Zeilentitel_44.2&gt;",Uebersetzungen!$B$4:$E$88,Uebersetzungen!$B$2+1,FALSE)</f>
        <v>übriges West- und Nordeuropa</v>
      </c>
      <c r="D44" s="98"/>
      <c r="E44" s="99"/>
      <c r="F44" s="100"/>
      <c r="G44" s="29"/>
      <c r="H44" s="98"/>
      <c r="I44" s="99"/>
      <c r="J44" s="100"/>
      <c r="K44" s="96"/>
    </row>
    <row r="45" spans="1:11" x14ac:dyDescent="0.2">
      <c r="A45" s="24" t="str">
        <f>VLOOKUP("&lt;T13Zeilentitel_33&gt;",Uebersetzungen!$B$4:$E$588,Uebersetzungen!$B$2+1,FALSE)</f>
        <v>Litauen</v>
      </c>
      <c r="B45" s="5"/>
      <c r="C45" s="127" t="str">
        <f>VLOOKUP("&lt;Zeilentitel_44.4&gt;",Uebersetzungen!$B$4:$E$88,Uebersetzungen!$B$2+1,FALSE)</f>
        <v>übriges Osteuropa</v>
      </c>
      <c r="D45" s="98"/>
      <c r="E45" s="99"/>
      <c r="F45" s="100"/>
      <c r="G45" s="29"/>
      <c r="H45" s="98"/>
      <c r="I45" s="99"/>
      <c r="J45" s="100"/>
      <c r="K45" s="96"/>
    </row>
    <row r="46" spans="1:11" x14ac:dyDescent="0.2">
      <c r="A46" s="24" t="str">
        <f>VLOOKUP("&lt;T13Zeilentitel_34&gt;",Uebersetzungen!$B$4:$E$588,Uebersetzungen!$B$2+1,FALSE)</f>
        <v>Luxemburg</v>
      </c>
      <c r="B46" s="5"/>
      <c r="C46" s="127" t="str">
        <f>VLOOKUP("&lt;Zeilentitel_44.9&gt;",Uebersetzungen!$B$4:$E$88,Uebersetzungen!$B$2+1,FALSE)</f>
        <v>einzeln ausgewiesen</v>
      </c>
      <c r="D46" s="98"/>
      <c r="E46" s="99"/>
      <c r="F46" s="100"/>
      <c r="G46" s="29"/>
      <c r="H46" s="98"/>
      <c r="I46" s="99"/>
      <c r="J46" s="100"/>
      <c r="K46" s="96"/>
    </row>
    <row r="47" spans="1:11" x14ac:dyDescent="0.2">
      <c r="A47" s="24" t="str">
        <f>VLOOKUP("&lt;T13Zeilentitel_35&gt;",Uebersetzungen!$B$4:$E$588,Uebersetzungen!$B$2+1,FALSE)</f>
        <v>Malaysia</v>
      </c>
      <c r="B47" s="5"/>
      <c r="C47" s="127" t="str">
        <f>VLOOKUP("&lt;Zeilentitel_44.3&gt;",Uebersetzungen!$B$4:$E$88,Uebersetzungen!$B$2+1,FALSE)</f>
        <v>übriges Südostasien</v>
      </c>
      <c r="D47" s="98"/>
      <c r="E47" s="99"/>
      <c r="F47" s="100"/>
      <c r="G47" s="29"/>
      <c r="H47" s="98"/>
      <c r="I47" s="99"/>
      <c r="J47" s="100"/>
      <c r="K47" s="96"/>
    </row>
    <row r="48" spans="1:11" x14ac:dyDescent="0.2">
      <c r="A48" s="24" t="str">
        <f>VLOOKUP("&lt;T13Zeilentitel_36&gt;",Uebersetzungen!$B$4:$E$588,Uebersetzungen!$B$2+1,FALSE)</f>
        <v>Malta</v>
      </c>
      <c r="B48" s="5"/>
      <c r="C48" s="127" t="str">
        <f>VLOOKUP("&lt;Zeilentitel_44.2&gt;",Uebersetzungen!$B$4:$E$88,Uebersetzungen!$B$2+1,FALSE)</f>
        <v>übriges West- und Nordeuropa</v>
      </c>
      <c r="D48" s="98"/>
      <c r="E48" s="99"/>
      <c r="F48" s="100"/>
      <c r="G48" s="29"/>
      <c r="H48" s="98"/>
      <c r="I48" s="99"/>
      <c r="J48" s="100"/>
      <c r="K48" s="96"/>
    </row>
    <row r="49" spans="1:11" x14ac:dyDescent="0.2">
      <c r="A49" s="24" t="str">
        <f>VLOOKUP("&lt;T13Zeilentitel_37&gt;",Uebersetzungen!$B$4:$E$588,Uebersetzungen!$B$2+1,FALSE)</f>
        <v>Mexiko</v>
      </c>
      <c r="B49" s="5"/>
      <c r="C49" s="127" t="str">
        <f>VLOOKUP("&lt;Zeilentitel_44.5&gt;",Uebersetzungen!$B$4:$E$88,Uebersetzungen!$B$2+1,FALSE)</f>
        <v>übriges Zentral- und Südamerika</v>
      </c>
      <c r="D49" s="98"/>
      <c r="E49" s="99"/>
      <c r="F49" s="100"/>
      <c r="G49" s="29"/>
      <c r="H49" s="98"/>
      <c r="I49" s="99"/>
      <c r="J49" s="100"/>
      <c r="K49" s="96"/>
    </row>
    <row r="50" spans="1:11" x14ac:dyDescent="0.2">
      <c r="A50" s="24" t="str">
        <f>VLOOKUP("&lt;T13Zeilentitel_38&gt;",Uebersetzungen!$B$4:$E$588,Uebersetzungen!$B$2+1,FALSE)</f>
        <v>Neuseeland, Ozeanien</v>
      </c>
      <c r="B50" s="5"/>
      <c r="C50" s="127" t="str">
        <f>VLOOKUP("&lt;Zeilentitel_44.3&gt;",Uebersetzungen!$B$4:$E$88,Uebersetzungen!$B$2+1,FALSE)</f>
        <v>übriges Südostasien</v>
      </c>
      <c r="D50" s="98"/>
      <c r="E50" s="99"/>
      <c r="F50" s="100"/>
      <c r="G50" s="29"/>
      <c r="H50" s="98"/>
      <c r="I50" s="99"/>
      <c r="J50" s="100"/>
      <c r="K50" s="96"/>
    </row>
    <row r="51" spans="1:11" x14ac:dyDescent="0.2">
      <c r="A51" s="24" t="str">
        <f>VLOOKUP("&lt;T13Zeilentitel_39&gt;",Uebersetzungen!$B$4:$E$588,Uebersetzungen!$B$2+1,FALSE)</f>
        <v>Niederlande</v>
      </c>
      <c r="B51" s="5"/>
      <c r="C51" s="127" t="str">
        <f>VLOOKUP("&lt;Zeilentitel_44.9&gt;",Uebersetzungen!$B$4:$E$88,Uebersetzungen!$B$2+1,FALSE)</f>
        <v>einzeln ausgewiesen</v>
      </c>
      <c r="D51" s="98"/>
      <c r="E51" s="99"/>
      <c r="F51" s="100"/>
      <c r="G51" s="29"/>
      <c r="H51" s="98"/>
      <c r="I51" s="99"/>
      <c r="J51" s="100"/>
      <c r="K51" s="96"/>
    </row>
    <row r="52" spans="1:11" x14ac:dyDescent="0.2">
      <c r="A52" s="24" t="str">
        <f>VLOOKUP("&lt;T13Zeilentitel_40&gt;",Uebersetzungen!$B$4:$E$588,Uebersetzungen!$B$2+1,FALSE)</f>
        <v>Norwegen</v>
      </c>
      <c r="B52" s="5"/>
      <c r="C52" s="127" t="str">
        <f>VLOOKUP("&lt;Zeilentitel_44.2&gt;",Uebersetzungen!$B$4:$E$88,Uebersetzungen!$B$2+1,FALSE)</f>
        <v>übriges West- und Nordeuropa</v>
      </c>
      <c r="D52" s="98"/>
      <c r="E52" s="99"/>
      <c r="F52" s="100"/>
      <c r="G52" s="29"/>
      <c r="H52" s="98"/>
      <c r="I52" s="99"/>
      <c r="J52" s="100"/>
      <c r="K52" s="96"/>
    </row>
    <row r="53" spans="1:11" x14ac:dyDescent="0.2">
      <c r="A53" s="24" t="str">
        <f>VLOOKUP("&lt;T13Zeilentitel_41&gt;",Uebersetzungen!$B$4:$E$588,Uebersetzungen!$B$2+1,FALSE)</f>
        <v>Oman</v>
      </c>
      <c r="B53" s="5"/>
      <c r="C53" s="127" t="str">
        <f>VLOOKUP("&lt;Zeilentitel_44.1&gt;",Uebersetzungen!$B$4:$E$88,Uebersetzungen!$B$2+1,FALSE)</f>
        <v>übrige Golfstaaten</v>
      </c>
      <c r="D53" s="98"/>
      <c r="E53" s="99"/>
      <c r="F53" s="100"/>
      <c r="G53" s="29"/>
      <c r="H53" s="98"/>
      <c r="I53" s="99"/>
      <c r="J53" s="100"/>
      <c r="K53" s="96"/>
    </row>
    <row r="54" spans="1:11" x14ac:dyDescent="0.2">
      <c r="A54" s="24" t="str">
        <f>VLOOKUP("&lt;T13Zeilentitel_42&gt;",Uebersetzungen!$B$4:$E$588,Uebersetzungen!$B$2+1,FALSE)</f>
        <v>Österreich</v>
      </c>
      <c r="B54" s="5"/>
      <c r="C54" s="127" t="str">
        <f>VLOOKUP("&lt;Zeilentitel_44.9&gt;",Uebersetzungen!$B$4:$E$88,Uebersetzungen!$B$2+1,FALSE)</f>
        <v>einzeln ausgewiesen</v>
      </c>
      <c r="D54" s="98"/>
      <c r="E54" s="99"/>
      <c r="F54" s="100"/>
      <c r="G54" s="29"/>
      <c r="H54" s="98"/>
      <c r="I54" s="99"/>
      <c r="J54" s="100"/>
      <c r="K54" s="96"/>
    </row>
    <row r="55" spans="1:11" x14ac:dyDescent="0.2">
      <c r="A55" s="24" t="str">
        <f>VLOOKUP("&lt;T13Zeilentitel_43&gt;",Uebersetzungen!$B$4:$E$588,Uebersetzungen!$B$2+1,FALSE)</f>
        <v>Philippinen</v>
      </c>
      <c r="B55" s="5"/>
      <c r="C55" s="127" t="str">
        <f>VLOOKUP("&lt;Zeilentitel_44.3&gt;",Uebersetzungen!$B$4:$E$88,Uebersetzungen!$B$2+1,FALSE)</f>
        <v>übriges Südostasien</v>
      </c>
      <c r="D55" s="98"/>
      <c r="E55" s="99"/>
      <c r="F55" s="100"/>
      <c r="G55" s="29"/>
      <c r="H55" s="98"/>
      <c r="I55" s="99"/>
      <c r="J55" s="100"/>
      <c r="K55" s="96"/>
    </row>
    <row r="56" spans="1:11" x14ac:dyDescent="0.2">
      <c r="A56" s="24" t="str">
        <f>VLOOKUP("&lt;T13Zeilentitel_44&gt;",Uebersetzungen!$B$4:$E$588,Uebersetzungen!$B$2+1,FALSE)</f>
        <v>Portugal</v>
      </c>
      <c r="B56" s="5"/>
      <c r="C56" s="127" t="str">
        <f>VLOOKUP("&lt;Zeilentitel_44.2&gt;",Uebersetzungen!$B$4:$E$88,Uebersetzungen!$B$2+1,FALSE)</f>
        <v>übriges West- und Nordeuropa</v>
      </c>
      <c r="D56" s="98"/>
      <c r="E56" s="99"/>
      <c r="F56" s="100"/>
      <c r="G56" s="29"/>
      <c r="H56" s="98"/>
      <c r="I56" s="99"/>
      <c r="J56" s="100"/>
      <c r="K56" s="96"/>
    </row>
    <row r="57" spans="1:11" x14ac:dyDescent="0.2">
      <c r="A57" s="24" t="str">
        <f>VLOOKUP("&lt;T13Zeilentitel_45&gt;",Uebersetzungen!$B$4:$E$588,Uebersetzungen!$B$2+1,FALSE)</f>
        <v>Polen</v>
      </c>
      <c r="B57" s="5"/>
      <c r="C57" s="127" t="str">
        <f>VLOOKUP("&lt;Zeilentitel_44.9&gt;",Uebersetzungen!$B$4:$E$88,Uebersetzungen!$B$2+1,FALSE)</f>
        <v>einzeln ausgewiesen</v>
      </c>
      <c r="D57" s="98"/>
      <c r="E57" s="99"/>
      <c r="F57" s="100"/>
      <c r="G57" s="29"/>
      <c r="H57" s="98"/>
      <c r="I57" s="99"/>
      <c r="J57" s="100"/>
      <c r="K57" s="96"/>
    </row>
    <row r="58" spans="1:11" x14ac:dyDescent="0.2">
      <c r="A58" s="24" t="str">
        <f>VLOOKUP("&lt;T13Zeilentitel_46&gt;",Uebersetzungen!$B$4:$E$588,Uebersetzungen!$B$2+1,FALSE)</f>
        <v>Rumänien</v>
      </c>
      <c r="B58" s="5"/>
      <c r="C58" s="127" t="str">
        <f>VLOOKUP("&lt;Zeilentitel_44.4&gt;",Uebersetzungen!$B$4:$E$88,Uebersetzungen!$B$2+1,FALSE)</f>
        <v>übriges Osteuropa</v>
      </c>
      <c r="D58" s="98"/>
      <c r="E58" s="99"/>
      <c r="F58" s="100"/>
      <c r="G58" s="29"/>
      <c r="H58" s="98"/>
      <c r="I58" s="99"/>
      <c r="J58" s="100"/>
      <c r="K58" s="96"/>
    </row>
    <row r="59" spans="1:11" x14ac:dyDescent="0.2">
      <c r="A59" s="24" t="str">
        <f>VLOOKUP("&lt;T13Zeilentitel_47&gt;",Uebersetzungen!$B$4:$E$588,Uebersetzungen!$B$2+1,FALSE)</f>
        <v>Russland</v>
      </c>
      <c r="B59" s="5"/>
      <c r="C59" s="127" t="str">
        <f>VLOOKUP("&lt;Zeilentitel_44.4&gt;",Uebersetzungen!$B$4:$E$88,Uebersetzungen!$B$2+1,FALSE)</f>
        <v>übriges Osteuropa</v>
      </c>
      <c r="D59" s="98"/>
      <c r="E59" s="99"/>
      <c r="F59" s="100"/>
      <c r="G59" s="29"/>
      <c r="H59" s="98"/>
      <c r="I59" s="99"/>
      <c r="J59" s="100"/>
      <c r="K59" s="96"/>
    </row>
    <row r="60" spans="1:11" x14ac:dyDescent="0.2">
      <c r="A60" s="24" t="str">
        <f>VLOOKUP("&lt;T13Zeilentitel_48&gt;",Uebersetzungen!$B$4:$E$588,Uebersetzungen!$B$2+1,FALSE)</f>
        <v>Saudi-Arabien</v>
      </c>
      <c r="B60" s="5"/>
      <c r="C60" s="127" t="str">
        <f>VLOOKUP("&lt;Zeilentitel_44.1&gt;",Uebersetzungen!$B$4:$E$88,Uebersetzungen!$B$2+1,FALSE)</f>
        <v>übrige Golfstaaten</v>
      </c>
      <c r="D60" s="98"/>
      <c r="E60" s="99"/>
      <c r="F60" s="100"/>
      <c r="G60" s="29"/>
      <c r="H60" s="98"/>
      <c r="I60" s="99"/>
      <c r="J60" s="100"/>
      <c r="K60" s="96"/>
    </row>
    <row r="61" spans="1:11" x14ac:dyDescent="0.2">
      <c r="A61" s="24" t="str">
        <f>VLOOKUP("&lt;T13Zeilentitel_49&gt;",Uebersetzungen!$B$4:$E$588,Uebersetzungen!$B$2+1,FALSE)</f>
        <v>Schweden</v>
      </c>
      <c r="B61" s="5"/>
      <c r="C61" s="127" t="str">
        <f>VLOOKUP("&lt;Zeilentitel_44.9&gt;",Uebersetzungen!$B$4:$E$88,Uebersetzungen!$B$2+1,FALSE)</f>
        <v>einzeln ausgewiesen</v>
      </c>
      <c r="D61" s="98"/>
      <c r="E61" s="99"/>
      <c r="F61" s="100"/>
      <c r="G61" s="29"/>
      <c r="H61" s="98"/>
      <c r="I61" s="99"/>
      <c r="J61" s="100"/>
      <c r="K61" s="96"/>
    </row>
    <row r="62" spans="1:11" x14ac:dyDescent="0.2">
      <c r="A62" s="24" t="str">
        <f>VLOOKUP("&lt;T13Zeilentitel_50&gt;",Uebersetzungen!$B$4:$E$588,Uebersetzungen!$B$2+1,FALSE)</f>
        <v>Schweiz</v>
      </c>
      <c r="B62" s="5"/>
      <c r="C62" s="127" t="str">
        <f>VLOOKUP("&lt;Zeilentitel_44.9&gt;",Uebersetzungen!$B$4:$E$88,Uebersetzungen!$B$2+1,FALSE)</f>
        <v>einzeln ausgewiesen</v>
      </c>
      <c r="D62" s="98"/>
      <c r="E62" s="99"/>
      <c r="F62" s="100"/>
      <c r="G62" s="29"/>
      <c r="H62" s="98"/>
      <c r="I62" s="99"/>
      <c r="J62" s="100"/>
      <c r="K62" s="96"/>
    </row>
    <row r="63" spans="1:11" x14ac:dyDescent="0.2">
      <c r="A63" s="24" t="str">
        <f>VLOOKUP("&lt;T13Zeilentitel_51&gt;",Uebersetzungen!$B$4:$E$588,Uebersetzungen!$B$2+1,FALSE)</f>
        <v>Serbien</v>
      </c>
      <c r="B63" s="5"/>
      <c r="C63" s="127" t="str">
        <f>VLOOKUP("&lt;Zeilentitel_44.7&gt;",Uebersetzungen!$B$4:$E$88,Uebersetzungen!$B$2+1,FALSE)</f>
        <v>Südosteuropa</v>
      </c>
      <c r="D63" s="98"/>
      <c r="E63" s="99"/>
      <c r="F63" s="100"/>
      <c r="G63" s="29"/>
      <c r="H63" s="98"/>
      <c r="I63" s="99"/>
      <c r="J63" s="100"/>
      <c r="K63" s="96"/>
    </row>
    <row r="64" spans="1:11" x14ac:dyDescent="0.2">
      <c r="A64" s="24" t="str">
        <f>VLOOKUP("&lt;T13Zeilentitel_52&gt;",Uebersetzungen!$B$4:$E$588,Uebersetzungen!$B$2+1,FALSE)</f>
        <v>Singapur</v>
      </c>
      <c r="B64" s="5"/>
      <c r="C64" s="127" t="str">
        <f>VLOOKUP("&lt;Zeilentitel_44.3&gt;",Uebersetzungen!$B$4:$E$88,Uebersetzungen!$B$2+1,FALSE)</f>
        <v>übriges Südostasien</v>
      </c>
      <c r="D64" s="98"/>
      <c r="E64" s="99"/>
      <c r="F64" s="100"/>
      <c r="G64" s="29"/>
      <c r="H64" s="98"/>
      <c r="I64" s="99"/>
      <c r="J64" s="100"/>
      <c r="K64" s="96"/>
    </row>
    <row r="65" spans="1:11" x14ac:dyDescent="0.2">
      <c r="A65" s="24" t="str">
        <f>VLOOKUP("&lt;T13Zeilentitel_53&gt;",Uebersetzungen!$B$4:$E$588,Uebersetzungen!$B$2+1,FALSE)</f>
        <v>Slowakei</v>
      </c>
      <c r="B65" s="5"/>
      <c r="C65" s="127" t="str">
        <f>VLOOKUP("&lt;Zeilentitel_44.4&gt;",Uebersetzungen!$B$4:$E$88,Uebersetzungen!$B$2+1,FALSE)</f>
        <v>übriges Osteuropa</v>
      </c>
      <c r="D65" s="98"/>
      <c r="E65" s="99"/>
      <c r="F65" s="100"/>
      <c r="G65" s="29"/>
      <c r="H65" s="98"/>
      <c r="I65" s="99"/>
      <c r="J65" s="100"/>
      <c r="K65" s="96"/>
    </row>
    <row r="66" spans="1:11" x14ac:dyDescent="0.2">
      <c r="A66" s="24" t="str">
        <f>VLOOKUP("&lt;T13Zeilentitel_54&gt;",Uebersetzungen!$B$4:$E$588,Uebersetzungen!$B$2+1,FALSE)</f>
        <v>Slowenien</v>
      </c>
      <c r="B66" s="5"/>
      <c r="C66" s="127" t="str">
        <f>VLOOKUP("&lt;Zeilentitel_44.7&gt;",Uebersetzungen!$B$4:$E$88,Uebersetzungen!$B$2+1,FALSE)</f>
        <v>Südosteuropa</v>
      </c>
      <c r="D66" s="98"/>
      <c r="E66" s="99"/>
      <c r="F66" s="100"/>
      <c r="G66" s="29"/>
      <c r="H66" s="98"/>
      <c r="I66" s="99"/>
      <c r="J66" s="100"/>
      <c r="K66" s="96"/>
    </row>
    <row r="67" spans="1:11" x14ac:dyDescent="0.2">
      <c r="A67" s="24" t="str">
        <f>VLOOKUP("&lt;T13Zeilentitel_55&gt;",Uebersetzungen!$B$4:$E$588,Uebersetzungen!$B$2+1,FALSE)</f>
        <v>Spanien</v>
      </c>
      <c r="B67" s="5"/>
      <c r="C67" s="127" t="str">
        <f>VLOOKUP("&lt;Zeilentitel_44.9&gt;",Uebersetzungen!$B$4:$E$88,Uebersetzungen!$B$2+1,FALSE)</f>
        <v>einzeln ausgewiesen</v>
      </c>
      <c r="D67" s="98"/>
      <c r="E67" s="99"/>
      <c r="F67" s="100"/>
      <c r="G67" s="29"/>
      <c r="H67" s="98"/>
      <c r="I67" s="99"/>
      <c r="J67" s="100"/>
      <c r="K67" s="96"/>
    </row>
    <row r="68" spans="1:11" x14ac:dyDescent="0.2">
      <c r="A68" s="24" t="str">
        <f>VLOOKUP("&lt;T13Zeilentitel_56&gt;",Uebersetzungen!$B$4:$E$588,Uebersetzungen!$B$2+1,FALSE)</f>
        <v>Südafrika</v>
      </c>
      <c r="B68" s="5"/>
      <c r="C68" s="127" t="str">
        <f>VLOOKUP("&lt;Zeilentitel_44.6&gt;",Uebersetzungen!$B$4:$E$88,Uebersetzungen!$B$2+1,FALSE)</f>
        <v>Afrikanischer Kontinent</v>
      </c>
      <c r="D68" s="98"/>
      <c r="E68" s="99"/>
      <c r="F68" s="100"/>
      <c r="G68" s="29"/>
      <c r="H68" s="98"/>
      <c r="I68" s="99"/>
      <c r="J68" s="100"/>
      <c r="K68" s="96"/>
    </row>
    <row r="69" spans="1:11" x14ac:dyDescent="0.2">
      <c r="A69" s="24" t="str">
        <f>VLOOKUP("&lt;T13Zeilentitel_57&gt;",Uebersetzungen!$B$4:$E$588,Uebersetzungen!$B$2+1,FALSE)</f>
        <v>Taiwan</v>
      </c>
      <c r="B69" s="5"/>
      <c r="C69" s="127" t="str">
        <f>VLOOKUP("&lt;Zeilentitel_44.9&gt;",Uebersetzungen!$B$4:$E$88,Uebersetzungen!$B$2+1,FALSE)</f>
        <v>einzeln ausgewiesen</v>
      </c>
      <c r="D69" s="98"/>
      <c r="E69" s="99"/>
      <c r="F69" s="100"/>
      <c r="G69" s="29"/>
      <c r="H69" s="98"/>
      <c r="I69" s="99"/>
      <c r="J69" s="100"/>
      <c r="K69" s="96"/>
    </row>
    <row r="70" spans="1:11" x14ac:dyDescent="0.2">
      <c r="A70" s="24" t="str">
        <f>VLOOKUP("&lt;T13Zeilentitel_58&gt;",Uebersetzungen!$B$4:$E$588,Uebersetzungen!$B$2+1,FALSE)</f>
        <v>Thailand</v>
      </c>
      <c r="B70" s="5"/>
      <c r="C70" s="127" t="str">
        <f>VLOOKUP("&lt;Zeilentitel_44.3&gt;",Uebersetzungen!$B$4:$E$88,Uebersetzungen!$B$2+1,FALSE)</f>
        <v>übriges Südostasien</v>
      </c>
      <c r="D70" s="98"/>
      <c r="E70" s="99"/>
      <c r="F70" s="100"/>
      <c r="G70" s="29"/>
      <c r="H70" s="98"/>
      <c r="I70" s="99"/>
      <c r="J70" s="100"/>
      <c r="K70" s="96"/>
    </row>
    <row r="71" spans="1:11" x14ac:dyDescent="0.2">
      <c r="A71" s="24" t="str">
        <f>VLOOKUP("&lt;T13Zeilentitel_59&gt;",Uebersetzungen!$B$4:$E$588,Uebersetzungen!$B$2+1,FALSE)</f>
        <v>Tschechien</v>
      </c>
      <c r="B71" s="5"/>
      <c r="C71" s="127" t="str">
        <f>VLOOKUP("&lt;Zeilentitel_44.9&gt;",Uebersetzungen!$B$4:$E$88,Uebersetzungen!$B$2+1,FALSE)</f>
        <v>einzeln ausgewiesen</v>
      </c>
      <c r="D71" s="98"/>
      <c r="E71" s="99"/>
      <c r="F71" s="100"/>
      <c r="G71" s="29"/>
      <c r="H71" s="98"/>
      <c r="I71" s="99"/>
      <c r="J71" s="100"/>
      <c r="K71" s="96"/>
    </row>
    <row r="72" spans="1:11" x14ac:dyDescent="0.2">
      <c r="A72" s="24" t="str">
        <f>VLOOKUP("&lt;T13Zeilentitel_60&gt;",Uebersetzungen!$B$4:$E$588,Uebersetzungen!$B$2+1,FALSE)</f>
        <v>Türkei</v>
      </c>
      <c r="B72" s="5"/>
      <c r="C72" s="127" t="str">
        <f>VLOOKUP("&lt;Zeilentitel_44.7&gt;",Uebersetzungen!$B$4:$E$88,Uebersetzungen!$B$2+1,FALSE)</f>
        <v>Südosteuropa</v>
      </c>
      <c r="D72" s="98"/>
      <c r="E72" s="99"/>
      <c r="F72" s="100"/>
      <c r="G72" s="29"/>
      <c r="H72" s="98"/>
      <c r="I72" s="99"/>
      <c r="J72" s="100"/>
      <c r="K72" s="96"/>
    </row>
    <row r="73" spans="1:11" x14ac:dyDescent="0.2">
      <c r="A73" s="24" t="str">
        <f>VLOOKUP("&lt;T13Zeilentitel_61&gt;",Uebersetzungen!$B$4:$E$588,Uebersetzungen!$B$2+1,FALSE)</f>
        <v>Übriges Afrika</v>
      </c>
      <c r="B73" s="5"/>
      <c r="C73" s="127" t="str">
        <f>VLOOKUP("&lt;Zeilentitel_44.6&gt;",Uebersetzungen!$B$4:$E$88,Uebersetzungen!$B$2+1,FALSE)</f>
        <v>Afrikanischer Kontinent</v>
      </c>
      <c r="D73" s="98"/>
      <c r="E73" s="99"/>
      <c r="F73" s="100"/>
      <c r="G73" s="29"/>
      <c r="H73" s="98"/>
      <c r="I73" s="99"/>
      <c r="J73" s="100"/>
      <c r="K73" s="96"/>
    </row>
    <row r="74" spans="1:11" x14ac:dyDescent="0.2">
      <c r="A74" s="24" t="str">
        <f>VLOOKUP("&lt;T13Zeilentitel_62&gt;",Uebersetzungen!$B$4:$E$588,Uebersetzungen!$B$2+1,FALSE)</f>
        <v>Übriges Europa</v>
      </c>
      <c r="B74" s="5"/>
      <c r="C74" s="127" t="str">
        <f>VLOOKUP("&lt;Zeilentitel_44.2&gt;",Uebersetzungen!$B$4:$E$88,Uebersetzungen!$B$2+1,FALSE)</f>
        <v>übriges West- und Nordeuropa</v>
      </c>
      <c r="D74" s="98"/>
      <c r="E74" s="99"/>
      <c r="F74" s="100"/>
      <c r="G74" s="29"/>
      <c r="H74" s="98"/>
      <c r="I74" s="99"/>
      <c r="J74" s="100"/>
      <c r="K74" s="96"/>
    </row>
    <row r="75" spans="1:11" x14ac:dyDescent="0.2">
      <c r="A75" s="24" t="str">
        <f>VLOOKUP("&lt;T13Zeilentitel_63&gt;",Uebersetzungen!$B$4:$E$588,Uebersetzungen!$B$2+1,FALSE)</f>
        <v>Übriges Nordafrika</v>
      </c>
      <c r="B75" s="5"/>
      <c r="C75" s="127" t="str">
        <f>VLOOKUP("&lt;Zeilentitel_44.6&gt;",Uebersetzungen!$B$4:$E$88,Uebersetzungen!$B$2+1,FALSE)</f>
        <v>Afrikanischer Kontinent</v>
      </c>
      <c r="D75" s="98"/>
      <c r="E75" s="99"/>
      <c r="F75" s="100"/>
      <c r="G75" s="29"/>
      <c r="H75" s="98"/>
      <c r="I75" s="99"/>
      <c r="J75" s="100"/>
      <c r="K75" s="96"/>
    </row>
    <row r="76" spans="1:11" x14ac:dyDescent="0.2">
      <c r="A76" s="24" t="str">
        <f>VLOOKUP("&lt;T13Zeilentitel_64&gt;",Uebersetzungen!$B$4:$E$588,Uebersetzungen!$B$2+1,FALSE)</f>
        <v>Übriges Süd- und Ostasien</v>
      </c>
      <c r="B76" s="5"/>
      <c r="C76" s="127" t="str">
        <f>VLOOKUP("&lt;Zeilentitel_44.3&gt;",Uebersetzungen!$B$4:$E$88,Uebersetzungen!$B$2+1,FALSE)</f>
        <v>übriges Südostasien</v>
      </c>
      <c r="D76" s="98"/>
      <c r="E76" s="99"/>
      <c r="F76" s="100"/>
      <c r="G76" s="29"/>
      <c r="H76" s="98"/>
      <c r="I76" s="99"/>
      <c r="J76" s="100"/>
      <c r="K76" s="96"/>
    </row>
    <row r="77" spans="1:11" x14ac:dyDescent="0.2">
      <c r="A77" s="24" t="str">
        <f>VLOOKUP("&lt;T13Zeilentitel_65&gt;",Uebersetzungen!$B$4:$E$588,Uebersetzungen!$B$2+1,FALSE)</f>
        <v>Übriges Südamerika</v>
      </c>
      <c r="B77" s="5"/>
      <c r="C77" s="127" t="str">
        <f>VLOOKUP("&lt;Zeilentitel_44.5&gt;",Uebersetzungen!$B$4:$E$88,Uebersetzungen!$B$2+1,FALSE)</f>
        <v>übriges Zentral- und Südamerika</v>
      </c>
      <c r="D77" s="98"/>
      <c r="E77" s="99"/>
      <c r="F77" s="100"/>
      <c r="G77" s="29"/>
      <c r="H77" s="98"/>
      <c r="I77" s="99"/>
      <c r="J77" s="100"/>
      <c r="K77" s="96"/>
    </row>
    <row r="78" spans="1:11" x14ac:dyDescent="0.2">
      <c r="A78" s="24" t="str">
        <f>VLOOKUP("&lt;T13Zeilentitel_66&gt;",Uebersetzungen!$B$4:$E$588,Uebersetzungen!$B$2+1,FALSE)</f>
        <v>Übriges Westasien</v>
      </c>
      <c r="B78" s="5"/>
      <c r="C78" s="127" t="str">
        <f>VLOOKUP("&lt;Zeilentitel_44.3&gt;",Uebersetzungen!$B$4:$E$88,Uebersetzungen!$B$2+1,FALSE)</f>
        <v>übriges Südostasien</v>
      </c>
      <c r="D78" s="98"/>
      <c r="E78" s="99"/>
      <c r="F78" s="100"/>
      <c r="G78" s="29"/>
      <c r="H78" s="98"/>
      <c r="I78" s="99"/>
      <c r="J78" s="100"/>
      <c r="K78" s="96"/>
    </row>
    <row r="79" spans="1:11" x14ac:dyDescent="0.2">
      <c r="A79" s="24" t="str">
        <f>VLOOKUP("&lt;T13Zeilentitel_67&gt;",Uebersetzungen!$B$4:$E$588,Uebersetzungen!$B$2+1,FALSE)</f>
        <v>Übriges Zentralamerika, Karibik</v>
      </c>
      <c r="B79" s="5"/>
      <c r="C79" s="127" t="str">
        <f>VLOOKUP("&lt;Zeilentitel_44.5&gt;",Uebersetzungen!$B$4:$E$88,Uebersetzungen!$B$2+1,FALSE)</f>
        <v>übriges Zentral- und Südamerika</v>
      </c>
      <c r="D79" s="98"/>
      <c r="E79" s="99"/>
      <c r="F79" s="100"/>
      <c r="G79" s="29"/>
      <c r="H79" s="98"/>
      <c r="I79" s="99"/>
      <c r="J79" s="100"/>
      <c r="K79" s="96"/>
    </row>
    <row r="80" spans="1:11" x14ac:dyDescent="0.2">
      <c r="A80" s="24" t="str">
        <f>VLOOKUP("&lt;T13Zeilentitel_68&gt;",Uebersetzungen!$B$4:$E$588,Uebersetzungen!$B$2+1,FALSE)</f>
        <v>Ukraine</v>
      </c>
      <c r="B80" s="5"/>
      <c r="C80" s="127" t="str">
        <f>VLOOKUP("&lt;Zeilentitel_44.4&gt;",Uebersetzungen!$B$4:$E$88,Uebersetzungen!$B$2+1,FALSE)</f>
        <v>übriges Osteuropa</v>
      </c>
      <c r="D80" s="98"/>
      <c r="E80" s="99"/>
      <c r="F80" s="100"/>
      <c r="G80" s="29"/>
      <c r="H80" s="98"/>
      <c r="I80" s="99"/>
      <c r="J80" s="100"/>
      <c r="K80" s="96"/>
    </row>
    <row r="81" spans="1:11" x14ac:dyDescent="0.2">
      <c r="A81" s="24" t="str">
        <f>VLOOKUP("&lt;T13Zeilentitel_69&gt;",Uebersetzungen!$B$4:$E$588,Uebersetzungen!$B$2+1,FALSE)</f>
        <v>Ungarn</v>
      </c>
      <c r="B81" s="5"/>
      <c r="C81" s="127" t="str">
        <f>VLOOKUP("&lt;Zeilentitel_44.4&gt;",Uebersetzungen!$B$4:$E$88,Uebersetzungen!$B$2+1,FALSE)</f>
        <v>übriges Osteuropa</v>
      </c>
      <c r="D81" s="98"/>
      <c r="E81" s="99"/>
      <c r="F81" s="100"/>
      <c r="G81" s="29"/>
      <c r="H81" s="98"/>
      <c r="I81" s="99"/>
      <c r="J81" s="100"/>
      <c r="K81" s="96"/>
    </row>
    <row r="82" spans="1:11" x14ac:dyDescent="0.2">
      <c r="A82" s="24" t="str">
        <f>VLOOKUP("&lt;T13Zeilentitel_70&gt;",Uebersetzungen!$B$4:$E$588,Uebersetzungen!$B$2+1,FALSE)</f>
        <v>Vereinigte Arabische Emirate</v>
      </c>
      <c r="B82" s="5"/>
      <c r="C82" s="127" t="str">
        <f>VLOOKUP("&lt;Zeilentitel_44.9&gt;",Uebersetzungen!$B$4:$E$88,Uebersetzungen!$B$2+1,FALSE)</f>
        <v>einzeln ausgewiesen</v>
      </c>
      <c r="D82" s="98"/>
      <c r="E82" s="99"/>
      <c r="F82" s="100"/>
      <c r="G82" s="29"/>
      <c r="H82" s="98"/>
      <c r="I82" s="99"/>
      <c r="J82" s="100"/>
      <c r="K82" s="96"/>
    </row>
    <row r="83" spans="1:11" x14ac:dyDescent="0.2">
      <c r="A83" s="24" t="str">
        <f>VLOOKUP("&lt;T13Zeilentitel_71&gt;",Uebersetzungen!$B$4:$E$588,Uebersetzungen!$B$2+1,FALSE)</f>
        <v>Vereinigte Staaten</v>
      </c>
      <c r="B83" s="5"/>
      <c r="C83" s="127" t="str">
        <f>VLOOKUP("&lt;Zeilentitel_44.9&gt;",Uebersetzungen!$B$4:$E$88,Uebersetzungen!$B$2+1,FALSE)</f>
        <v>einzeln ausgewiesen</v>
      </c>
      <c r="D83" s="98"/>
      <c r="E83" s="99"/>
      <c r="F83" s="100"/>
      <c r="G83" s="29"/>
      <c r="H83" s="98"/>
      <c r="I83" s="99"/>
      <c r="J83" s="100"/>
      <c r="K83" s="96"/>
    </row>
    <row r="84" spans="1:11" x14ac:dyDescent="0.2">
      <c r="A84" s="24" t="str">
        <f>VLOOKUP("&lt;T13Zeilentitel_72&gt;",Uebersetzungen!$B$4:$E$588,Uebersetzungen!$B$2+1,FALSE)</f>
        <v>Vereinigtes Königreich</v>
      </c>
      <c r="B84" s="5"/>
      <c r="C84" s="127" t="str">
        <f>VLOOKUP("&lt;Zeilentitel_44.9&gt;",Uebersetzungen!$B$4:$E$88,Uebersetzungen!$B$2+1,FALSE)</f>
        <v>einzeln ausgewiesen</v>
      </c>
      <c r="D84" s="98"/>
      <c r="E84" s="99"/>
      <c r="F84" s="100"/>
      <c r="G84" s="29"/>
      <c r="H84" s="98"/>
      <c r="I84" s="99"/>
      <c r="J84" s="100"/>
      <c r="K84" s="96"/>
    </row>
    <row r="85" spans="1:11" x14ac:dyDescent="0.2">
      <c r="A85" s="24" t="str">
        <f>VLOOKUP("&lt;T13Zeilentitel_73&gt;",Uebersetzungen!$B$4:$E$588,Uebersetzungen!$B$2+1,FALSE)</f>
        <v>Zypern</v>
      </c>
      <c r="B85" s="5"/>
      <c r="C85" s="127" t="str">
        <f>VLOOKUP("&lt;Zeilentitel_44.7&gt;",Uebersetzungen!$B$4:$E$88,Uebersetzungen!$B$2+1,FALSE)</f>
        <v>Südosteuropa</v>
      </c>
      <c r="D85" s="98"/>
      <c r="E85" s="99"/>
      <c r="F85" s="100"/>
      <c r="G85" s="29"/>
      <c r="H85" s="98"/>
      <c r="I85" s="99"/>
      <c r="J85" s="100"/>
      <c r="K85" s="96"/>
    </row>
    <row r="86" spans="1:11" ht="13.5" thickBot="1" x14ac:dyDescent="0.25">
      <c r="A86" s="124"/>
      <c r="B86" s="6"/>
      <c r="C86" s="129"/>
      <c r="D86" s="98"/>
      <c r="E86" s="99"/>
      <c r="F86" s="100"/>
      <c r="G86" s="29"/>
      <c r="H86" s="98"/>
      <c r="I86" s="99"/>
      <c r="J86" s="100"/>
      <c r="K86" s="96"/>
    </row>
    <row r="87" spans="1:11" x14ac:dyDescent="0.2">
      <c r="D87" s="96"/>
      <c r="E87" s="96"/>
      <c r="F87" s="96"/>
      <c r="G87" s="96"/>
      <c r="H87" s="96"/>
      <c r="I87" s="96"/>
      <c r="J87" s="96"/>
      <c r="K87" s="96"/>
    </row>
    <row r="88" spans="1:11" ht="12.75" customHeight="1" x14ac:dyDescent="0.2">
      <c r="A88" s="4" t="str">
        <f>VLOOKUP("&lt;Aktualisierung&gt;",Uebersetzungen!$B$4:$E$97,Uebersetzungen!$B$2+1,FALSE)</f>
        <v>Letztmals aktualisiert am: 25.02.2026</v>
      </c>
    </row>
    <row r="89" spans="1:11" x14ac:dyDescent="0.2">
      <c r="A89" s="4" t="str">
        <f>VLOOKUP("&lt;Legende_2&gt;",Uebersetzungen!$B$4:$E$97,Uebersetzungen!$B$2+1,FALSE)</f>
        <v>Kontakt: Luzius Stricker, 081 257 23 74, luzius.stricker@awt.gr.ch</v>
      </c>
    </row>
    <row r="90" spans="1:11" x14ac:dyDescent="0.2">
      <c r="A90" s="31"/>
    </row>
    <row r="92" spans="1:11" x14ac:dyDescent="0.2">
      <c r="A92" s="4" t="s">
        <v>46</v>
      </c>
    </row>
  </sheetData>
  <sheetProtection sheet="1" objects="1" scenarios="1"/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rowBreaks count="1" manualBreakCount="1">
    <brk id="42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Option Button 1">
              <controlPr defaultSize="0" autoFill="0" autoLine="0" autoPict="0">
                <anchor moveWithCells="1">
                  <from>
                    <xdr:col>3</xdr:col>
                    <xdr:colOff>523875</xdr:colOff>
                    <xdr:row>1</xdr:row>
                    <xdr:rowOff>114300</xdr:rowOff>
                  </from>
                  <to>
                    <xdr:col>4</xdr:col>
                    <xdr:colOff>714375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Option Button 2">
              <controlPr defaultSize="0" autoFill="0" autoLine="0" autoPict="0">
                <anchor moveWithCells="1">
                  <from>
                    <xdr:col>3</xdr:col>
                    <xdr:colOff>523875</xdr:colOff>
                    <xdr:row>2</xdr:row>
                    <xdr:rowOff>104775</xdr:rowOff>
                  </from>
                  <to>
                    <xdr:col>5</xdr:col>
                    <xdr:colOff>238125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Option Button 3">
              <controlPr defaultSize="0" autoFill="0" autoLine="0" autoPict="0">
                <anchor moveWithCells="1">
                  <from>
                    <xdr:col>3</xdr:col>
                    <xdr:colOff>523875</xdr:colOff>
                    <xdr:row>3</xdr:row>
                    <xdr:rowOff>66675</xdr:rowOff>
                  </from>
                  <to>
                    <xdr:col>4</xdr:col>
                    <xdr:colOff>714375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7"/>
  <dimension ref="A1:F337"/>
  <sheetViews>
    <sheetView topLeftCell="A217" workbookViewId="0">
      <selection activeCell="G249" sqref="G249"/>
    </sheetView>
  </sheetViews>
  <sheetFormatPr baseColWidth="10" defaultColWidth="12.5703125" defaultRowHeight="12.75" x14ac:dyDescent="0.2"/>
  <cols>
    <col min="1" max="1" width="8.5703125" style="70" bestFit="1" customWidth="1"/>
    <col min="2" max="2" width="17.7109375" style="70" bestFit="1" customWidth="1"/>
    <col min="3" max="3" width="53" style="70" customWidth="1"/>
    <col min="4" max="4" width="47.5703125" style="70" bestFit="1" customWidth="1"/>
    <col min="5" max="5" width="42.28515625" style="70" customWidth="1"/>
    <col min="6" max="16384" width="12.5703125" style="70"/>
  </cols>
  <sheetData>
    <row r="1" spans="1:6" x14ac:dyDescent="0.2">
      <c r="A1" s="91" t="s">
        <v>47</v>
      </c>
      <c r="B1" s="91" t="s">
        <v>48</v>
      </c>
      <c r="C1" s="91" t="s">
        <v>49</v>
      </c>
      <c r="D1" s="91" t="s">
        <v>50</v>
      </c>
      <c r="E1" s="91" t="s">
        <v>51</v>
      </c>
      <c r="F1" s="90"/>
    </row>
    <row r="2" spans="1:6" ht="13.5" thickBot="1" x14ac:dyDescent="0.25">
      <c r="A2" s="89" t="s">
        <v>52</v>
      </c>
      <c r="B2" s="92">
        <v>1</v>
      </c>
      <c r="C2" s="92"/>
      <c r="D2" s="90"/>
      <c r="E2" s="90"/>
      <c r="F2" s="90"/>
    </row>
    <row r="3" spans="1:6" s="109" customFormat="1" ht="26.25" thickBot="1" x14ac:dyDescent="0.25">
      <c r="A3" s="107"/>
      <c r="B3" s="108" t="s">
        <v>298</v>
      </c>
      <c r="C3" s="111">
        <v>2025</v>
      </c>
      <c r="D3" s="110">
        <f>C3-2000</f>
        <v>25</v>
      </c>
    </row>
    <row r="4" spans="1:6" x14ac:dyDescent="0.2">
      <c r="A4" s="89"/>
      <c r="B4" s="112" t="s">
        <v>53</v>
      </c>
      <c r="C4" s="112" t="s">
        <v>54</v>
      </c>
      <c r="D4" s="112" t="s">
        <v>55</v>
      </c>
      <c r="E4" s="112" t="s">
        <v>56</v>
      </c>
      <c r="F4" s="90"/>
    </row>
    <row r="5" spans="1:6" x14ac:dyDescent="0.2">
      <c r="A5" s="89"/>
      <c r="B5" s="88" t="s">
        <v>299</v>
      </c>
      <c r="C5" s="88" t="s">
        <v>301</v>
      </c>
      <c r="D5" s="88" t="s">
        <v>302</v>
      </c>
      <c r="E5" s="88" t="s">
        <v>303</v>
      </c>
      <c r="F5" s="90"/>
    </row>
    <row r="6" spans="1:6" ht="51" x14ac:dyDescent="0.2">
      <c r="A6" s="89"/>
      <c r="B6" s="115" t="s">
        <v>300</v>
      </c>
      <c r="C6" s="114" t="s">
        <v>301</v>
      </c>
      <c r="D6" s="114" t="s">
        <v>302</v>
      </c>
      <c r="E6" s="114" t="s">
        <v>303</v>
      </c>
      <c r="F6" s="90"/>
    </row>
    <row r="7" spans="1:6" ht="25.5" x14ac:dyDescent="0.2">
      <c r="A7" s="89" t="s">
        <v>57</v>
      </c>
      <c r="B7" s="112" t="s">
        <v>95</v>
      </c>
      <c r="C7" s="112" t="str">
        <f>"Hotel- und Kurbetriebe: Logiernächte im Januar "&amp;$C$3&amp;", nach Destinationen"</f>
        <v>Hotel- und Kurbetriebe: Logiernächte im Januar 2025, nach Destinationen</v>
      </c>
      <c r="D7" s="112" t="str">
        <f>"Manaschis d' hotel e da cura: pernottaziuns il schaner "&amp;$C$3&amp;", tenor destinaziuns"</f>
        <v>Manaschis d' hotel e da cura: pernottaziuns il schaner 2025, tenor destinaziuns</v>
      </c>
      <c r="E7" s="112" t="str">
        <f>"Alberghi e stabilimenti di cura: pernottamenti nel mese di gennaio "&amp;$C$3&amp;", per destinazione"</f>
        <v>Alberghi e stabilimenti di cura: pernottamenti nel mese di gennaio 2025, per destinazione</v>
      </c>
      <c r="F7" s="90"/>
    </row>
    <row r="8" spans="1:6" ht="25.5" x14ac:dyDescent="0.2">
      <c r="A8" s="89"/>
      <c r="B8" s="112" t="s">
        <v>96</v>
      </c>
      <c r="C8" s="112" t="str">
        <f>"Hotel- und Kurbetriebe: Logiernächte im Januar "&amp;$C$3&amp;", nach Herkunft"</f>
        <v>Hotel- und Kurbetriebe: Logiernächte im Januar 2025, nach Herkunft</v>
      </c>
      <c r="D8" s="112" t="str">
        <f>"Manaschis d' hotel e da cura: pernottaziuns il schaner "&amp;$C$3&amp;", tenor la derivanza"</f>
        <v>Manaschis d' hotel e da cura: pernottaziuns il schaner 2025, tenor la derivanza</v>
      </c>
      <c r="E8" s="112" t="str">
        <f>"Alberghi e stabilimenti di cura: pernottamenti nel mese di gennaio "&amp;$C$3&amp;", per provenienza"</f>
        <v>Alberghi e stabilimenti di cura: pernottamenti nel mese di gennaio 2025, per provenienza</v>
      </c>
      <c r="F8" s="90"/>
    </row>
    <row r="9" spans="1:6" ht="38.25" x14ac:dyDescent="0.2">
      <c r="A9" s="89"/>
      <c r="B9" s="112" t="s">
        <v>97</v>
      </c>
      <c r="C9" s="112" t="str">
        <f>"Hotel- und Kurbetriebe: Logiernächte im Januar "&amp;$C$3&amp;", nach Schweizer Tourismusregionen"</f>
        <v>Hotel- und Kurbetriebe: Logiernächte im Januar 2025, nach Schweizer Tourismusregionen</v>
      </c>
      <c r="D9" s="112" t="str">
        <f>"Manaschis d' hotel e da cura: pernottaziuns il schaner "&amp;$C$3&amp;", tenor regiuns turisticas svizras"</f>
        <v>Manaschis d' hotel e da cura: pernottaziuns il schaner 2025, tenor regiuns turisticas svizras</v>
      </c>
      <c r="E9" s="112" t="str">
        <f>"Alberghi e stabilimenti di cura: pernottamenti nel mese di gennaio "&amp;$C$3&amp;", per regioni turistiche svizzere"</f>
        <v>Alberghi e stabilimenti di cura: pernottamenti nel mese di gennaio 2025, per regioni turistiche svizzere</v>
      </c>
      <c r="F9" s="90"/>
    </row>
    <row r="10" spans="1:6" x14ac:dyDescent="0.2">
      <c r="A10" s="89"/>
      <c r="B10" s="89"/>
      <c r="C10" s="89"/>
      <c r="D10" s="89"/>
      <c r="E10" s="89"/>
      <c r="F10" s="90"/>
    </row>
    <row r="11" spans="1:6" x14ac:dyDescent="0.2">
      <c r="A11" s="89" t="s">
        <v>58</v>
      </c>
      <c r="B11" s="112" t="s">
        <v>59</v>
      </c>
      <c r="C11" s="112" t="str">
        <f>"Januar "&amp;$C$3</f>
        <v>Januar 2025</v>
      </c>
      <c r="D11" s="112" t="str">
        <f>"Schaner "&amp;$C$3</f>
        <v>Schaner 2025</v>
      </c>
      <c r="E11" s="112" t="str">
        <f>"Gennaio "&amp;$C$3</f>
        <v>Gennaio 2025</v>
      </c>
      <c r="F11" s="90"/>
    </row>
    <row r="12" spans="1:6" x14ac:dyDescent="0.2">
      <c r="A12" s="89"/>
      <c r="B12" s="112" t="s">
        <v>60</v>
      </c>
      <c r="C12" s="112" t="str">
        <f>"Januar "&amp;$C$3-1</f>
        <v>Januar 2024</v>
      </c>
      <c r="D12" s="112" t="str">
        <f>"Schaner "&amp;$C$3-1</f>
        <v>Schaner 2024</v>
      </c>
      <c r="E12" s="112" t="str">
        <f>"Gennaio "&amp;$C$3-1</f>
        <v>Gennaio 2024</v>
      </c>
      <c r="F12" s="90"/>
    </row>
    <row r="13" spans="1:6" x14ac:dyDescent="0.2">
      <c r="A13" s="89"/>
      <c r="B13" s="112" t="s">
        <v>61</v>
      </c>
      <c r="C13" s="112" t="str">
        <f>"Veränderung "&amp;$D$3&amp;"/"&amp;$D$3-1&amp;" in %"</f>
        <v>Veränderung 25/24 in %</v>
      </c>
      <c r="D13" s="112" t="str">
        <f>"Midament "&amp;$D$3&amp;"/"&amp;$D$3-1&amp;" in %"</f>
        <v>Midament 25/24 in %</v>
      </c>
      <c r="E13" s="112" t="str">
        <f>"Variazione "&amp;$D$3&amp;"/"&amp;$D$3-1&amp;" in %"</f>
        <v>Variazione 25/24 in %</v>
      </c>
      <c r="F13" s="90"/>
    </row>
    <row r="14" spans="1:6" ht="38.25" x14ac:dyDescent="0.2">
      <c r="A14" s="89"/>
      <c r="B14" s="112" t="s">
        <v>125</v>
      </c>
      <c r="C14" s="112" t="s">
        <v>43</v>
      </c>
      <c r="D14" s="112" t="s">
        <v>130</v>
      </c>
      <c r="E14" s="113" t="s">
        <v>131</v>
      </c>
      <c r="F14" s="90"/>
    </row>
    <row r="15" spans="1:6" x14ac:dyDescent="0.2">
      <c r="A15" s="89"/>
      <c r="B15" s="112" t="s">
        <v>126</v>
      </c>
      <c r="C15" s="112"/>
      <c r="D15" s="112"/>
      <c r="E15" s="112"/>
      <c r="F15" s="90"/>
    </row>
    <row r="16" spans="1:6" x14ac:dyDescent="0.2">
      <c r="A16" s="89"/>
      <c r="B16" s="112" t="s">
        <v>127</v>
      </c>
      <c r="C16" s="112"/>
      <c r="D16" s="112"/>
      <c r="E16" s="112"/>
      <c r="F16" s="90"/>
    </row>
    <row r="17" spans="1:6" x14ac:dyDescent="0.2">
      <c r="A17" s="89"/>
      <c r="B17" s="112" t="s">
        <v>128</v>
      </c>
      <c r="C17" s="112" t="str">
        <f>"Veränderung "&amp;$D$3&amp;"/"&amp;$D$3-1&amp;" in %"</f>
        <v>Veränderung 25/24 in %</v>
      </c>
      <c r="D17" s="112" t="str">
        <f>"Midament "&amp;$D$3&amp;"/"&amp;$D$3-1&amp;" in %"</f>
        <v>Midament 25/24 in %</v>
      </c>
      <c r="E17" s="112" t="str">
        <f>"Variazione "&amp;$D$3&amp;"/"&amp;$D$3-1&amp;" in %"</f>
        <v>Variazione 25/24 in %</v>
      </c>
      <c r="F17" s="90"/>
    </row>
    <row r="18" spans="1:6" ht="38.25" x14ac:dyDescent="0.2">
      <c r="A18" s="89"/>
      <c r="B18" s="112" t="s">
        <v>129</v>
      </c>
      <c r="C18" s="112" t="s">
        <v>43</v>
      </c>
      <c r="D18" s="112" t="s">
        <v>130</v>
      </c>
      <c r="E18" s="113" t="s">
        <v>131</v>
      </c>
      <c r="F18" s="90"/>
    </row>
    <row r="19" spans="1:6" x14ac:dyDescent="0.2">
      <c r="A19" s="89"/>
      <c r="B19" s="90"/>
      <c r="C19" s="90"/>
      <c r="D19" s="90"/>
      <c r="E19" s="90"/>
      <c r="F19" s="90"/>
    </row>
    <row r="20" spans="1:6" x14ac:dyDescent="0.2">
      <c r="A20" s="89" t="s">
        <v>57</v>
      </c>
      <c r="B20" s="70" t="s">
        <v>62</v>
      </c>
      <c r="C20" s="70" t="s">
        <v>24</v>
      </c>
      <c r="D20" s="70" t="s">
        <v>160</v>
      </c>
      <c r="E20" s="70" t="s">
        <v>160</v>
      </c>
      <c r="F20" s="90"/>
    </row>
    <row r="21" spans="1:6" x14ac:dyDescent="0.2">
      <c r="A21" s="90"/>
      <c r="B21" s="70" t="s">
        <v>63</v>
      </c>
      <c r="C21" s="70" t="s">
        <v>7</v>
      </c>
      <c r="D21" s="70" t="s">
        <v>7</v>
      </c>
      <c r="E21" s="70" t="s">
        <v>7</v>
      </c>
      <c r="F21" s="90"/>
    </row>
    <row r="22" spans="1:6" x14ac:dyDescent="0.2">
      <c r="A22" s="90"/>
      <c r="B22" s="70" t="s">
        <v>64</v>
      </c>
      <c r="C22" s="70" t="s">
        <v>26</v>
      </c>
      <c r="D22" s="70" t="s">
        <v>26</v>
      </c>
      <c r="E22" s="70" t="s">
        <v>26</v>
      </c>
      <c r="F22" s="90"/>
    </row>
    <row r="23" spans="1:6" x14ac:dyDescent="0.2">
      <c r="A23" s="90"/>
      <c r="B23" s="70" t="s">
        <v>65</v>
      </c>
      <c r="C23" s="70" t="s">
        <v>12</v>
      </c>
      <c r="D23" s="70" t="s">
        <v>161</v>
      </c>
      <c r="E23" s="70" t="s">
        <v>161</v>
      </c>
      <c r="F23" s="90"/>
    </row>
    <row r="24" spans="1:6" x14ac:dyDescent="0.2">
      <c r="A24" s="90"/>
      <c r="B24" s="70" t="s">
        <v>66</v>
      </c>
      <c r="C24" s="70" t="s">
        <v>2</v>
      </c>
      <c r="D24" s="70" t="s">
        <v>2</v>
      </c>
      <c r="E24" s="70" t="s">
        <v>2</v>
      </c>
      <c r="F24" s="90"/>
    </row>
    <row r="25" spans="1:6" x14ac:dyDescent="0.2">
      <c r="A25" s="90"/>
      <c r="B25" s="70" t="s">
        <v>67</v>
      </c>
      <c r="C25" s="70" t="s">
        <v>0</v>
      </c>
      <c r="D25" s="70" t="s">
        <v>0</v>
      </c>
      <c r="E25" s="70" t="s">
        <v>0</v>
      </c>
      <c r="F25" s="90"/>
    </row>
    <row r="26" spans="1:6" x14ac:dyDescent="0.2">
      <c r="A26" s="90"/>
      <c r="B26" s="70" t="s">
        <v>68</v>
      </c>
      <c r="C26" s="70" t="s">
        <v>8</v>
      </c>
      <c r="D26" s="70" t="s">
        <v>8</v>
      </c>
      <c r="E26" s="70" t="s">
        <v>8</v>
      </c>
      <c r="F26" s="90"/>
    </row>
    <row r="27" spans="1:6" x14ac:dyDescent="0.2">
      <c r="A27" s="90"/>
      <c r="B27" s="70" t="s">
        <v>69</v>
      </c>
      <c r="C27" s="70" t="s">
        <v>611</v>
      </c>
      <c r="D27" s="70" t="s">
        <v>611</v>
      </c>
      <c r="E27" s="70" t="s">
        <v>611</v>
      </c>
      <c r="F27" s="90"/>
    </row>
    <row r="28" spans="1:6" x14ac:dyDescent="0.2">
      <c r="A28" s="90"/>
      <c r="B28" s="70" t="s">
        <v>70</v>
      </c>
      <c r="C28" s="70" t="s">
        <v>27</v>
      </c>
      <c r="D28" s="70" t="s">
        <v>27</v>
      </c>
      <c r="E28" s="70" t="s">
        <v>27</v>
      </c>
      <c r="F28" s="90"/>
    </row>
    <row r="29" spans="1:6" x14ac:dyDescent="0.2">
      <c r="A29" s="90"/>
      <c r="B29" s="70" t="s">
        <v>71</v>
      </c>
      <c r="C29" s="70" t="s">
        <v>1</v>
      </c>
      <c r="D29" s="70" t="s">
        <v>1</v>
      </c>
      <c r="E29" s="70" t="s">
        <v>1</v>
      </c>
      <c r="F29" s="90"/>
    </row>
    <row r="30" spans="1:6" x14ac:dyDescent="0.2">
      <c r="A30" s="90"/>
      <c r="B30" s="70" t="s">
        <v>72</v>
      </c>
      <c r="C30" s="70" t="s">
        <v>3</v>
      </c>
      <c r="D30" s="70" t="s">
        <v>3</v>
      </c>
      <c r="E30" s="70" t="s">
        <v>3</v>
      </c>
      <c r="F30" s="90"/>
    </row>
    <row r="31" spans="1:6" x14ac:dyDescent="0.2">
      <c r="A31" s="90"/>
      <c r="B31" s="70" t="s">
        <v>73</v>
      </c>
      <c r="C31" s="70" t="s">
        <v>4</v>
      </c>
      <c r="D31" s="70" t="s">
        <v>4</v>
      </c>
      <c r="E31" s="70" t="s">
        <v>4</v>
      </c>
      <c r="F31" s="90"/>
    </row>
    <row r="32" spans="1:6" x14ac:dyDescent="0.2">
      <c r="A32" s="90"/>
      <c r="B32" s="70" t="s">
        <v>74</v>
      </c>
      <c r="C32" s="70" t="s">
        <v>11</v>
      </c>
      <c r="D32" s="70" t="s">
        <v>11</v>
      </c>
      <c r="E32" s="70" t="s">
        <v>11</v>
      </c>
      <c r="F32" s="90"/>
    </row>
    <row r="33" spans="1:6" x14ac:dyDescent="0.2">
      <c r="A33" s="90"/>
      <c r="B33" s="70" t="s">
        <v>75</v>
      </c>
      <c r="C33" s="70" t="s">
        <v>44</v>
      </c>
      <c r="D33" s="70" t="s">
        <v>44</v>
      </c>
      <c r="E33" s="70" t="s">
        <v>44</v>
      </c>
      <c r="F33" s="90"/>
    </row>
    <row r="34" spans="1:6" x14ac:dyDescent="0.2">
      <c r="A34" s="90"/>
      <c r="B34" s="70" t="s">
        <v>76</v>
      </c>
      <c r="C34" s="70" t="s">
        <v>25</v>
      </c>
      <c r="D34" s="70" t="s">
        <v>25</v>
      </c>
      <c r="E34" s="70" t="s">
        <v>25</v>
      </c>
      <c r="F34" s="90"/>
    </row>
    <row r="35" spans="1:6" x14ac:dyDescent="0.2">
      <c r="A35" s="90"/>
      <c r="B35" s="70" t="s">
        <v>77</v>
      </c>
      <c r="C35" s="70" t="s">
        <v>5</v>
      </c>
      <c r="D35" s="70" t="s">
        <v>5</v>
      </c>
      <c r="E35" s="70" t="s">
        <v>5</v>
      </c>
      <c r="F35" s="90"/>
    </row>
    <row r="36" spans="1:6" x14ac:dyDescent="0.2">
      <c r="A36" s="90"/>
      <c r="B36" s="70" t="s">
        <v>78</v>
      </c>
      <c r="C36" s="70" t="s">
        <v>9</v>
      </c>
      <c r="D36" s="70" t="s">
        <v>9</v>
      </c>
      <c r="E36" s="70" t="s">
        <v>9</v>
      </c>
      <c r="F36" s="90"/>
    </row>
    <row r="37" spans="1:6" x14ac:dyDescent="0.2">
      <c r="A37" s="90"/>
      <c r="B37" s="70" t="s">
        <v>79</v>
      </c>
      <c r="C37" s="70" t="s">
        <v>6</v>
      </c>
      <c r="D37" s="70" t="s">
        <v>6</v>
      </c>
      <c r="E37" s="70" t="s">
        <v>6</v>
      </c>
      <c r="F37" s="90"/>
    </row>
    <row r="38" spans="1:6" x14ac:dyDescent="0.2">
      <c r="A38" s="90"/>
      <c r="B38" s="70" t="s">
        <v>80</v>
      </c>
      <c r="C38" s="70" t="s">
        <v>10</v>
      </c>
      <c r="D38" s="70" t="s">
        <v>149</v>
      </c>
      <c r="E38" s="70" t="s">
        <v>159</v>
      </c>
      <c r="F38" s="90"/>
    </row>
    <row r="39" spans="1:6" x14ac:dyDescent="0.2">
      <c r="A39" s="90"/>
      <c r="B39" s="70" t="s">
        <v>81</v>
      </c>
      <c r="C39" s="70" t="s">
        <v>13</v>
      </c>
      <c r="D39" s="70" t="s">
        <v>136</v>
      </c>
      <c r="E39" s="70" t="s">
        <v>150</v>
      </c>
      <c r="F39" s="90"/>
    </row>
    <row r="40" spans="1:6" x14ac:dyDescent="0.2">
      <c r="A40" s="90"/>
      <c r="B40" s="70" t="s">
        <v>82</v>
      </c>
      <c r="C40" s="70" t="s">
        <v>14</v>
      </c>
      <c r="D40" s="70" t="s">
        <v>137</v>
      </c>
      <c r="E40" s="70" t="s">
        <v>137</v>
      </c>
      <c r="F40" s="90"/>
    </row>
    <row r="41" spans="1:6" x14ac:dyDescent="0.2">
      <c r="A41" s="90"/>
      <c r="B41" s="70" t="s">
        <v>83</v>
      </c>
      <c r="C41" s="70" t="s">
        <v>39</v>
      </c>
      <c r="D41" s="70" t="s">
        <v>144</v>
      </c>
      <c r="E41" s="70" t="s">
        <v>155</v>
      </c>
      <c r="F41" s="90"/>
    </row>
    <row r="42" spans="1:6" x14ac:dyDescent="0.2">
      <c r="A42" s="90"/>
      <c r="B42" s="70" t="s">
        <v>84</v>
      </c>
      <c r="C42" s="70" t="s">
        <v>23</v>
      </c>
      <c r="D42" s="70" t="s">
        <v>143</v>
      </c>
      <c r="E42" s="70" t="s">
        <v>154</v>
      </c>
      <c r="F42" s="90"/>
    </row>
    <row r="43" spans="1:6" x14ac:dyDescent="0.2">
      <c r="A43" s="90"/>
      <c r="B43" s="70" t="s">
        <v>85</v>
      </c>
      <c r="C43" s="70" t="s">
        <v>17</v>
      </c>
      <c r="D43" s="70" t="s">
        <v>142</v>
      </c>
      <c r="E43" s="70" t="s">
        <v>153</v>
      </c>
      <c r="F43" s="90"/>
    </row>
    <row r="44" spans="1:6" x14ac:dyDescent="0.2">
      <c r="A44" s="90"/>
      <c r="B44" s="70" t="s">
        <v>86</v>
      </c>
      <c r="C44" s="70" t="s">
        <v>15</v>
      </c>
      <c r="D44" s="70" t="s">
        <v>141</v>
      </c>
      <c r="E44" s="70" t="s">
        <v>152</v>
      </c>
      <c r="F44" s="90"/>
    </row>
    <row r="45" spans="1:6" x14ac:dyDescent="0.2">
      <c r="A45" s="90"/>
      <c r="B45" s="70" t="s">
        <v>87</v>
      </c>
      <c r="C45" s="70" t="s">
        <v>19</v>
      </c>
      <c r="D45" s="70" t="s">
        <v>140</v>
      </c>
      <c r="E45" s="70" t="s">
        <v>140</v>
      </c>
      <c r="F45" s="90"/>
    </row>
    <row r="46" spans="1:6" x14ac:dyDescent="0.2">
      <c r="A46" s="90"/>
      <c r="B46" s="70" t="s">
        <v>88</v>
      </c>
      <c r="C46" s="70" t="s">
        <v>16</v>
      </c>
      <c r="D46" s="70" t="s">
        <v>138</v>
      </c>
      <c r="E46" s="70" t="s">
        <v>138</v>
      </c>
      <c r="F46" s="90"/>
    </row>
    <row r="47" spans="1:6" x14ac:dyDescent="0.2">
      <c r="A47" s="90"/>
      <c r="B47" s="70" t="s">
        <v>98</v>
      </c>
      <c r="C47" s="70" t="s">
        <v>18</v>
      </c>
      <c r="D47" s="70" t="s">
        <v>139</v>
      </c>
      <c r="E47" s="70" t="s">
        <v>151</v>
      </c>
      <c r="F47" s="90"/>
    </row>
    <row r="48" spans="1:6" x14ac:dyDescent="0.2">
      <c r="A48" s="90"/>
      <c r="B48" s="70" t="s">
        <v>99</v>
      </c>
      <c r="C48" s="70" t="s">
        <v>304</v>
      </c>
      <c r="D48" s="70" t="s">
        <v>321</v>
      </c>
      <c r="E48" s="70" t="s">
        <v>321</v>
      </c>
      <c r="F48" s="90"/>
    </row>
    <row r="49" spans="1:6" x14ac:dyDescent="0.2">
      <c r="A49" s="90"/>
      <c r="B49" s="70" t="s">
        <v>100</v>
      </c>
      <c r="C49" s="70" t="s">
        <v>578</v>
      </c>
      <c r="D49" s="70" t="s">
        <v>578</v>
      </c>
      <c r="E49" s="70" t="s">
        <v>578</v>
      </c>
      <c r="F49" s="90"/>
    </row>
    <row r="50" spans="1:6" x14ac:dyDescent="0.2">
      <c r="A50" s="90"/>
      <c r="B50" s="70" t="s">
        <v>101</v>
      </c>
      <c r="C50" s="70" t="s">
        <v>305</v>
      </c>
      <c r="D50" s="70" t="s">
        <v>305</v>
      </c>
      <c r="E50" s="70" t="s">
        <v>322</v>
      </c>
      <c r="F50" s="90"/>
    </row>
    <row r="51" spans="1:6" x14ac:dyDescent="0.2">
      <c r="A51" s="90"/>
      <c r="B51" s="70" t="s">
        <v>102</v>
      </c>
      <c r="C51" s="70" t="s">
        <v>306</v>
      </c>
      <c r="D51" s="70" t="s">
        <v>323</v>
      </c>
      <c r="E51" s="70" t="s">
        <v>323</v>
      </c>
      <c r="F51" s="90"/>
    </row>
    <row r="52" spans="1:6" x14ac:dyDescent="0.2">
      <c r="A52" s="90"/>
      <c r="B52" s="70" t="s">
        <v>103</v>
      </c>
      <c r="C52" s="70" t="s">
        <v>20</v>
      </c>
      <c r="D52" s="70" t="s">
        <v>146</v>
      </c>
      <c r="E52" s="70" t="s">
        <v>157</v>
      </c>
      <c r="F52" s="90"/>
    </row>
    <row r="53" spans="1:6" x14ac:dyDescent="0.2">
      <c r="A53" s="90"/>
      <c r="B53" s="70" t="s">
        <v>104</v>
      </c>
      <c r="C53" s="70" t="s">
        <v>307</v>
      </c>
      <c r="D53" s="70" t="s">
        <v>307</v>
      </c>
      <c r="E53" s="70" t="s">
        <v>324</v>
      </c>
      <c r="F53" s="90"/>
    </row>
    <row r="54" spans="1:6" x14ac:dyDescent="0.2">
      <c r="A54" s="90"/>
      <c r="B54" s="70" t="s">
        <v>105</v>
      </c>
      <c r="C54" s="70" t="s">
        <v>21</v>
      </c>
      <c r="D54" s="70" t="s">
        <v>145</v>
      </c>
      <c r="E54" s="70" t="s">
        <v>156</v>
      </c>
      <c r="F54" s="90"/>
    </row>
    <row r="55" spans="1:6" x14ac:dyDescent="0.2">
      <c r="A55" s="90"/>
      <c r="B55" s="70" t="s">
        <v>106</v>
      </c>
      <c r="C55" s="70" t="s">
        <v>22</v>
      </c>
      <c r="D55" s="70" t="s">
        <v>148</v>
      </c>
      <c r="E55" s="70" t="s">
        <v>158</v>
      </c>
      <c r="F55" s="90"/>
    </row>
    <row r="56" spans="1:6" x14ac:dyDescent="0.2">
      <c r="A56" s="90"/>
      <c r="B56" s="70" t="s">
        <v>107</v>
      </c>
      <c r="C56" s="70" t="s">
        <v>308</v>
      </c>
      <c r="D56" s="70" t="s">
        <v>147</v>
      </c>
      <c r="E56" s="70" t="s">
        <v>147</v>
      </c>
      <c r="F56" s="90"/>
    </row>
    <row r="57" spans="1:6" x14ac:dyDescent="0.2">
      <c r="A57" s="90"/>
      <c r="B57" s="70" t="s">
        <v>108</v>
      </c>
      <c r="C57" s="70" t="s">
        <v>347</v>
      </c>
      <c r="D57" s="70" t="s">
        <v>353</v>
      </c>
      <c r="E57" s="70" t="s">
        <v>358</v>
      </c>
      <c r="F57" s="90"/>
    </row>
    <row r="58" spans="1:6" x14ac:dyDescent="0.2">
      <c r="A58" s="90"/>
      <c r="B58" s="70" t="s">
        <v>109</v>
      </c>
      <c r="C58" s="70" t="s">
        <v>348</v>
      </c>
      <c r="D58" s="70" t="s">
        <v>354</v>
      </c>
      <c r="E58" s="70" t="s">
        <v>354</v>
      </c>
      <c r="F58" s="90"/>
    </row>
    <row r="59" spans="1:6" x14ac:dyDescent="0.2">
      <c r="A59" s="90"/>
      <c r="B59" s="70" t="s">
        <v>110</v>
      </c>
      <c r="C59" s="70" t="s">
        <v>349</v>
      </c>
      <c r="D59" s="70" t="s">
        <v>355</v>
      </c>
      <c r="E59" s="70" t="s">
        <v>359</v>
      </c>
      <c r="F59" s="90"/>
    </row>
    <row r="60" spans="1:6" x14ac:dyDescent="0.2">
      <c r="A60" s="90"/>
      <c r="B60" s="70" t="s">
        <v>111</v>
      </c>
      <c r="C60" s="70" t="s">
        <v>350</v>
      </c>
      <c r="D60" s="70" t="s">
        <v>356</v>
      </c>
      <c r="E60" s="70" t="s">
        <v>356</v>
      </c>
      <c r="F60" s="90"/>
    </row>
    <row r="61" spans="1:6" x14ac:dyDescent="0.2">
      <c r="A61" s="90"/>
      <c r="B61" s="70" t="s">
        <v>112</v>
      </c>
      <c r="C61" s="70" t="s">
        <v>352</v>
      </c>
      <c r="D61" s="70" t="s">
        <v>352</v>
      </c>
      <c r="E61" s="70" t="s">
        <v>360</v>
      </c>
      <c r="F61" s="90"/>
    </row>
    <row r="62" spans="1:6" x14ac:dyDescent="0.2">
      <c r="A62" s="90"/>
      <c r="B62" s="70" t="s">
        <v>113</v>
      </c>
      <c r="C62" s="70" t="s">
        <v>351</v>
      </c>
      <c r="D62" s="70" t="s">
        <v>357</v>
      </c>
      <c r="E62" s="70" t="s">
        <v>361</v>
      </c>
      <c r="F62" s="90"/>
    </row>
    <row r="63" spans="1:6" x14ac:dyDescent="0.2">
      <c r="A63" s="90"/>
      <c r="B63" s="70" t="s">
        <v>114</v>
      </c>
      <c r="C63" s="70" t="s">
        <v>320</v>
      </c>
      <c r="D63" s="70" t="s">
        <v>325</v>
      </c>
      <c r="E63" s="70" t="s">
        <v>326</v>
      </c>
      <c r="F63" s="90"/>
    </row>
    <row r="64" spans="1:6" x14ac:dyDescent="0.2">
      <c r="A64" s="90"/>
      <c r="B64" s="70" t="s">
        <v>339</v>
      </c>
      <c r="C64" s="70" t="s">
        <v>309</v>
      </c>
      <c r="D64" s="70" t="s">
        <v>332</v>
      </c>
      <c r="E64" s="70" t="s">
        <v>338</v>
      </c>
      <c r="F64" s="90"/>
    </row>
    <row r="65" spans="1:6" x14ac:dyDescent="0.2">
      <c r="A65" s="90"/>
      <c r="B65" s="70" t="s">
        <v>340</v>
      </c>
      <c r="C65" s="70" t="s">
        <v>577</v>
      </c>
      <c r="D65" s="70" t="s">
        <v>579</v>
      </c>
      <c r="E65" s="70" t="s">
        <v>328</v>
      </c>
      <c r="F65" s="90"/>
    </row>
    <row r="66" spans="1:6" x14ac:dyDescent="0.2">
      <c r="A66" s="90"/>
      <c r="B66" s="70" t="s">
        <v>341</v>
      </c>
      <c r="C66" s="70" t="s">
        <v>310</v>
      </c>
      <c r="D66" s="70" t="s">
        <v>333</v>
      </c>
      <c r="E66" s="70" t="s">
        <v>580</v>
      </c>
      <c r="F66" s="90"/>
    </row>
    <row r="67" spans="1:6" x14ac:dyDescent="0.2">
      <c r="A67" s="90"/>
      <c r="B67" s="70" t="s">
        <v>342</v>
      </c>
      <c r="C67" s="70" t="s">
        <v>311</v>
      </c>
      <c r="D67" s="70" t="s">
        <v>336</v>
      </c>
      <c r="E67" s="70" t="s">
        <v>329</v>
      </c>
      <c r="F67" s="90"/>
    </row>
    <row r="68" spans="1:6" x14ac:dyDescent="0.2">
      <c r="A68" s="90"/>
      <c r="B68" s="70" t="s">
        <v>343</v>
      </c>
      <c r="C68" s="70" t="s">
        <v>312</v>
      </c>
      <c r="D68" s="70" t="s">
        <v>337</v>
      </c>
      <c r="E68" s="70" t="s">
        <v>330</v>
      </c>
      <c r="F68" s="90"/>
    </row>
    <row r="69" spans="1:6" x14ac:dyDescent="0.2">
      <c r="A69" s="90"/>
      <c r="B69" s="70" t="s">
        <v>344</v>
      </c>
      <c r="C69" s="70" t="s">
        <v>313</v>
      </c>
      <c r="D69" s="70" t="s">
        <v>334</v>
      </c>
      <c r="E69" s="70" t="s">
        <v>331</v>
      </c>
      <c r="F69" s="90"/>
    </row>
    <row r="70" spans="1:6" x14ac:dyDescent="0.2">
      <c r="A70" s="90"/>
      <c r="B70" s="70" t="s">
        <v>345</v>
      </c>
      <c r="C70" s="70" t="s">
        <v>314</v>
      </c>
      <c r="D70" s="70" t="s">
        <v>335</v>
      </c>
      <c r="E70" s="70" t="s">
        <v>327</v>
      </c>
      <c r="F70" s="90"/>
    </row>
    <row r="71" spans="1:6" x14ac:dyDescent="0.2">
      <c r="A71" s="90"/>
      <c r="B71" s="70" t="s">
        <v>346</v>
      </c>
      <c r="C71" s="70" t="s">
        <v>435</v>
      </c>
      <c r="D71" s="70" t="s">
        <v>434</v>
      </c>
      <c r="E71" s="70" t="s">
        <v>433</v>
      </c>
      <c r="F71" s="90"/>
    </row>
    <row r="72" spans="1:6" x14ac:dyDescent="0.2">
      <c r="A72" s="90"/>
      <c r="B72" s="70" t="s">
        <v>432</v>
      </c>
      <c r="C72" s="70" t="s">
        <v>436</v>
      </c>
      <c r="D72" s="70" t="s">
        <v>437</v>
      </c>
      <c r="E72" s="70" t="s">
        <v>438</v>
      </c>
      <c r="F72" s="90"/>
    </row>
    <row r="73" spans="1:6" x14ac:dyDescent="0.2">
      <c r="A73" s="90"/>
      <c r="B73" s="70" t="s">
        <v>115</v>
      </c>
      <c r="C73" s="70" t="s">
        <v>10</v>
      </c>
      <c r="D73" s="70" t="s">
        <v>149</v>
      </c>
      <c r="E73" s="70" t="s">
        <v>159</v>
      </c>
      <c r="F73" s="90"/>
    </row>
    <row r="74" spans="1:6" x14ac:dyDescent="0.2">
      <c r="A74" s="90"/>
      <c r="B74" s="70" t="s">
        <v>116</v>
      </c>
      <c r="C74" s="70" t="s">
        <v>45</v>
      </c>
      <c r="D74" s="70" t="s">
        <v>162</v>
      </c>
      <c r="E74" s="70" t="s">
        <v>163</v>
      </c>
      <c r="F74" s="90"/>
    </row>
    <row r="75" spans="1:6" x14ac:dyDescent="0.2">
      <c r="A75" s="90"/>
      <c r="B75" s="70" t="s">
        <v>117</v>
      </c>
      <c r="C75" s="70" t="s">
        <v>34</v>
      </c>
      <c r="D75" s="70" t="s">
        <v>164</v>
      </c>
      <c r="E75" s="70" t="s">
        <v>165</v>
      </c>
      <c r="F75" s="90"/>
    </row>
    <row r="76" spans="1:6" x14ac:dyDescent="0.2">
      <c r="A76" s="90"/>
      <c r="B76" s="70" t="s">
        <v>118</v>
      </c>
      <c r="C76" s="70" t="s">
        <v>35</v>
      </c>
      <c r="D76" s="70" t="s">
        <v>166</v>
      </c>
      <c r="E76" s="70" t="s">
        <v>167</v>
      </c>
      <c r="F76" s="90"/>
    </row>
    <row r="77" spans="1:6" x14ac:dyDescent="0.2">
      <c r="A77" s="90"/>
      <c r="B77" s="70" t="s">
        <v>119</v>
      </c>
      <c r="C77" s="70" t="s">
        <v>37</v>
      </c>
      <c r="D77" s="70" t="s">
        <v>168</v>
      </c>
      <c r="E77" s="70" t="s">
        <v>169</v>
      </c>
      <c r="F77" s="90"/>
    </row>
    <row r="78" spans="1:6" x14ac:dyDescent="0.2">
      <c r="A78" s="90"/>
      <c r="B78" s="70" t="s">
        <v>120</v>
      </c>
      <c r="C78" s="70" t="s">
        <v>29</v>
      </c>
      <c r="D78" s="70" t="s">
        <v>170</v>
      </c>
      <c r="E78" s="70" t="s">
        <v>171</v>
      </c>
      <c r="F78" s="90"/>
    </row>
    <row r="79" spans="1:6" x14ac:dyDescent="0.2">
      <c r="A79" s="90"/>
      <c r="B79" s="70" t="s">
        <v>121</v>
      </c>
      <c r="C79" s="70" t="s">
        <v>10</v>
      </c>
      <c r="D79" s="70" t="s">
        <v>149</v>
      </c>
      <c r="E79" s="70" t="s">
        <v>159</v>
      </c>
      <c r="F79" s="90"/>
    </row>
    <row r="80" spans="1:6" x14ac:dyDescent="0.2">
      <c r="A80" s="90"/>
      <c r="B80" s="70" t="s">
        <v>122</v>
      </c>
      <c r="C80" s="70" t="s">
        <v>36</v>
      </c>
      <c r="D80" s="70" t="s">
        <v>172</v>
      </c>
      <c r="E80" s="70" t="s">
        <v>173</v>
      </c>
      <c r="F80" s="90"/>
    </row>
    <row r="81" spans="1:6" x14ac:dyDescent="0.2">
      <c r="A81" s="90"/>
      <c r="B81" s="70" t="s">
        <v>123</v>
      </c>
      <c r="C81" s="70" t="s">
        <v>33</v>
      </c>
      <c r="D81" s="70" t="s">
        <v>174</v>
      </c>
      <c r="E81" s="70" t="s">
        <v>175</v>
      </c>
      <c r="F81" s="90"/>
    </row>
    <row r="82" spans="1:6" x14ac:dyDescent="0.2">
      <c r="A82" s="90"/>
      <c r="B82" s="70" t="s">
        <v>124</v>
      </c>
      <c r="C82" s="70" t="s">
        <v>28</v>
      </c>
      <c r="D82" s="70" t="s">
        <v>176</v>
      </c>
      <c r="E82" s="70" t="s">
        <v>177</v>
      </c>
      <c r="F82" s="90"/>
    </row>
    <row r="83" spans="1:6" x14ac:dyDescent="0.2">
      <c r="A83" s="90"/>
      <c r="B83" s="70" t="s">
        <v>315</v>
      </c>
      <c r="C83" s="70" t="s">
        <v>31</v>
      </c>
      <c r="D83" s="70" t="s">
        <v>31</v>
      </c>
      <c r="E83" s="70" t="s">
        <v>178</v>
      </c>
      <c r="F83" s="90"/>
    </row>
    <row r="84" spans="1:6" x14ac:dyDescent="0.2">
      <c r="A84" s="90"/>
      <c r="B84" s="70" t="s">
        <v>316</v>
      </c>
      <c r="C84" s="70" t="s">
        <v>40</v>
      </c>
      <c r="D84" s="70" t="s">
        <v>181</v>
      </c>
      <c r="E84" s="70" t="s">
        <v>182</v>
      </c>
      <c r="F84" s="90"/>
    </row>
    <row r="85" spans="1:6" x14ac:dyDescent="0.2">
      <c r="A85" s="90"/>
      <c r="B85" s="70" t="s">
        <v>317</v>
      </c>
      <c r="C85" s="70" t="s">
        <v>30</v>
      </c>
      <c r="D85" s="70" t="s">
        <v>179</v>
      </c>
      <c r="E85" s="70" t="s">
        <v>180</v>
      </c>
      <c r="F85" s="90"/>
    </row>
    <row r="86" spans="1:6" x14ac:dyDescent="0.2">
      <c r="A86" s="90"/>
      <c r="B86" s="70" t="s">
        <v>318</v>
      </c>
      <c r="C86" s="70" t="s">
        <v>32</v>
      </c>
      <c r="D86" s="70" t="s">
        <v>183</v>
      </c>
      <c r="E86" s="70" t="s">
        <v>184</v>
      </c>
      <c r="F86" s="90"/>
    </row>
    <row r="87" spans="1:6" x14ac:dyDescent="0.2">
      <c r="A87" s="90"/>
      <c r="B87" s="70" t="s">
        <v>319</v>
      </c>
      <c r="C87" s="70" t="s">
        <v>13</v>
      </c>
      <c r="D87" s="70" t="s">
        <v>136</v>
      </c>
      <c r="E87" s="70" t="s">
        <v>150</v>
      </c>
      <c r="F87" s="90"/>
    </row>
    <row r="88" spans="1:6" x14ac:dyDescent="0.2">
      <c r="A88" s="90"/>
      <c r="B88" s="90"/>
      <c r="C88" s="90"/>
      <c r="D88" s="90"/>
      <c r="E88" s="90"/>
      <c r="F88" s="90"/>
    </row>
    <row r="89" spans="1:6" ht="25.5" x14ac:dyDescent="0.2">
      <c r="A89" s="89"/>
      <c r="B89" s="70" t="s">
        <v>89</v>
      </c>
      <c r="C89" s="70" t="s">
        <v>38</v>
      </c>
      <c r="D89" s="70" t="s">
        <v>132</v>
      </c>
      <c r="E89" s="93" t="s">
        <v>135</v>
      </c>
      <c r="F89" s="90"/>
    </row>
    <row r="90" spans="1:6" ht="25.5" x14ac:dyDescent="0.2">
      <c r="A90" s="89"/>
      <c r="B90" s="70" t="s">
        <v>362</v>
      </c>
      <c r="C90" s="70" t="s">
        <v>363</v>
      </c>
      <c r="D90" s="70" t="s">
        <v>365</v>
      </c>
      <c r="E90" s="93" t="s">
        <v>364</v>
      </c>
      <c r="F90" s="90"/>
    </row>
    <row r="91" spans="1:6" ht="25.5" x14ac:dyDescent="0.2">
      <c r="A91" s="90"/>
      <c r="B91" s="70" t="s">
        <v>90</v>
      </c>
      <c r="C91" s="70" t="s">
        <v>42</v>
      </c>
      <c r="D91" s="70" t="s">
        <v>133</v>
      </c>
      <c r="E91" s="93" t="s">
        <v>134</v>
      </c>
      <c r="F91" s="90"/>
    </row>
    <row r="92" spans="1:6" ht="25.5" x14ac:dyDescent="0.2">
      <c r="A92" s="90"/>
      <c r="B92" s="88" t="s">
        <v>91</v>
      </c>
      <c r="C92" s="88" t="s">
        <v>592</v>
      </c>
      <c r="D92" s="88" t="s">
        <v>590</v>
      </c>
      <c r="E92" s="88" t="s">
        <v>591</v>
      </c>
      <c r="F92" s="90"/>
    </row>
    <row r="93" spans="1:6" x14ac:dyDescent="0.2">
      <c r="A93" s="90"/>
      <c r="B93" s="90"/>
      <c r="C93" s="90"/>
      <c r="D93" s="90"/>
      <c r="E93" s="90"/>
      <c r="F93" s="90"/>
    </row>
    <row r="94" spans="1:6" x14ac:dyDescent="0.2">
      <c r="A94" s="90" t="s">
        <v>58</v>
      </c>
      <c r="B94" s="70" t="s">
        <v>92</v>
      </c>
      <c r="C94" s="70" t="s">
        <v>94</v>
      </c>
      <c r="D94" s="70" t="s">
        <v>186</v>
      </c>
      <c r="E94" s="70" t="s">
        <v>187</v>
      </c>
      <c r="F94" s="90"/>
    </row>
    <row r="95" spans="1:6" x14ac:dyDescent="0.2">
      <c r="A95" s="90" t="s">
        <v>57</v>
      </c>
      <c r="B95" s="88" t="s">
        <v>93</v>
      </c>
      <c r="C95" s="94" t="s">
        <v>618</v>
      </c>
      <c r="D95" s="94" t="s">
        <v>619</v>
      </c>
      <c r="E95" s="94" t="s">
        <v>620</v>
      </c>
      <c r="F95" s="90"/>
    </row>
    <row r="96" spans="1:6" ht="13.5" thickBot="1" x14ac:dyDescent="0.25">
      <c r="A96" s="105"/>
      <c r="B96" s="105"/>
      <c r="C96" s="105"/>
      <c r="D96" s="105"/>
      <c r="E96" s="105"/>
      <c r="F96" s="90"/>
    </row>
    <row r="97" spans="1:6" x14ac:dyDescent="0.2">
      <c r="A97" s="89"/>
      <c r="B97" s="92"/>
      <c r="C97" s="92"/>
      <c r="D97" s="90"/>
      <c r="E97" s="90"/>
      <c r="F97" s="90"/>
    </row>
    <row r="98" spans="1:6" ht="25.5" x14ac:dyDescent="0.2">
      <c r="A98" s="89" t="s">
        <v>188</v>
      </c>
      <c r="B98" s="112" t="s">
        <v>189</v>
      </c>
      <c r="C98" s="112" t="str">
        <f>"Hotel- und Kurbetriebe: Logiernächte im Februar "&amp;$C$3&amp;", nach Destinationen"</f>
        <v>Hotel- und Kurbetriebe: Logiernächte im Februar 2025, nach Destinationen</v>
      </c>
      <c r="D98" s="112" t="str">
        <f>"Manaschis d' hotel e da cura: pernottaziuns il fevrer "&amp;$C$3&amp;", tenor destinaziuns"</f>
        <v>Manaschis d' hotel e da cura: pernottaziuns il fevrer 2025, tenor destinaziuns</v>
      </c>
      <c r="E98" s="112" t="str">
        <f>"Alberghi e stabilimenti di cura: pernottamenti nel mese di febbraio "&amp;$C$3&amp;", per destinazione"</f>
        <v>Alberghi e stabilimenti di cura: pernottamenti nel mese di febbraio 2025, per destinazione</v>
      </c>
      <c r="F98" s="90"/>
    </row>
    <row r="99" spans="1:6" ht="25.5" x14ac:dyDescent="0.2">
      <c r="A99" s="89"/>
      <c r="B99" s="112" t="s">
        <v>198</v>
      </c>
      <c r="C99" s="112" t="str">
        <f>"Hotel- und Kurbetriebe: Logiernächte im Februar "&amp;$C$3&amp;", nach Herkunft"</f>
        <v>Hotel- und Kurbetriebe: Logiernächte im Februar 2025, nach Herkunft</v>
      </c>
      <c r="D99" s="112" t="str">
        <f>"Manaschis d' hotel e da cura: pernottaziuns il fevrer "&amp;$C$3&amp;", tenor la derivanza"</f>
        <v>Manaschis d' hotel e da cura: pernottaziuns il fevrer 2025, tenor la derivanza</v>
      </c>
      <c r="E99" s="112" t="str">
        <f>"Alberghi e stabilimenti di cura: pernottamenti nel mese di febbraio "&amp;$C$3&amp;", per provenienza"</f>
        <v>Alberghi e stabilimenti di cura: pernottamenti nel mese di febbraio 2025, per provenienza</v>
      </c>
      <c r="F99" s="90"/>
    </row>
    <row r="100" spans="1:6" ht="38.25" x14ac:dyDescent="0.2">
      <c r="A100" s="89"/>
      <c r="B100" s="112" t="s">
        <v>199</v>
      </c>
      <c r="C100" s="112" t="str">
        <f>"Hotel- und Kurbetriebe: Logiernächte im Februar "&amp;$C$3&amp;", nach Schweizer Tourismusregionen"</f>
        <v>Hotel- und Kurbetriebe: Logiernächte im Februar 2025, nach Schweizer Tourismusregionen</v>
      </c>
      <c r="D100" s="112" t="str">
        <f>"Manaschis d' hotel e da cura: pernottaziuns il fevrer "&amp;$C$3&amp;", tenor regiuns turisticas svizras"</f>
        <v>Manaschis d' hotel e da cura: pernottaziuns il fevrer 2025, tenor regiuns turisticas svizras</v>
      </c>
      <c r="E100" s="112" t="str">
        <f>"Alberghi e stabilimenti di cura: pernottamenti nel mese di febbraio "&amp;$C$3&amp;", per regioni turistiche svizzere"</f>
        <v>Alberghi e stabilimenti di cura: pernottamenti nel mese di febbraio 2025, per regioni turistiche svizzere</v>
      </c>
      <c r="F100" s="90"/>
    </row>
    <row r="101" spans="1:6" x14ac:dyDescent="0.2">
      <c r="A101" s="89"/>
      <c r="B101" s="89"/>
      <c r="C101" s="89"/>
      <c r="D101" s="89"/>
      <c r="E101" s="89"/>
      <c r="F101" s="90"/>
    </row>
    <row r="102" spans="1:6" x14ac:dyDescent="0.2">
      <c r="A102" s="89"/>
      <c r="B102" s="112" t="s">
        <v>200</v>
      </c>
      <c r="C102" s="112" t="str">
        <f>"Februar "&amp;$C$3</f>
        <v>Februar 2025</v>
      </c>
      <c r="D102" s="112" t="str">
        <f>"Fevrer "&amp;$C$3</f>
        <v>Fevrer 2025</v>
      </c>
      <c r="E102" s="112" t="str">
        <f>"Febbraio "&amp;$C$3</f>
        <v>Febbraio 2025</v>
      </c>
      <c r="F102" s="90"/>
    </row>
    <row r="103" spans="1:6" x14ac:dyDescent="0.2">
      <c r="A103" s="89"/>
      <c r="B103" s="112" t="s">
        <v>201</v>
      </c>
      <c r="C103" s="112" t="str">
        <f>"Februar "&amp;$C$3-1</f>
        <v>Februar 2024</v>
      </c>
      <c r="D103" s="112" t="str">
        <f>"Fevrer "&amp;$C$3-1</f>
        <v>Fevrer 2024</v>
      </c>
      <c r="E103" s="112" t="str">
        <f>"Febbraio "&amp;$C$3-1</f>
        <v>Febbraio 2024</v>
      </c>
      <c r="F103" s="90"/>
    </row>
    <row r="104" spans="1:6" x14ac:dyDescent="0.2">
      <c r="A104" s="89"/>
      <c r="B104" s="112" t="s">
        <v>202</v>
      </c>
      <c r="C104" s="112" t="str">
        <f>"Januar-Februar "&amp;$D$3</f>
        <v>Januar-Februar 25</v>
      </c>
      <c r="D104" s="112" t="str">
        <f>"Schaner-fevrer "&amp;$D$3</f>
        <v>Schaner-fevrer 25</v>
      </c>
      <c r="E104" s="112" t="str">
        <f>"Gennaio-febbraio "&amp;$D$3</f>
        <v>Gennaio-febbraio 25</v>
      </c>
      <c r="F104" s="90"/>
    </row>
    <row r="105" spans="1:6" x14ac:dyDescent="0.2">
      <c r="A105" s="89"/>
      <c r="B105" s="112" t="s">
        <v>203</v>
      </c>
      <c r="C105" s="112" t="str">
        <f>"Januar-Februar "&amp;$D$3-1</f>
        <v>Januar-Februar 24</v>
      </c>
      <c r="D105" s="112" t="str">
        <f>"Schaner-fevrer "&amp;$D$3-1</f>
        <v>Schaner-fevrer 24</v>
      </c>
      <c r="E105" s="112" t="str">
        <f>"Gennaio-febbraio "&amp;$D$3-1</f>
        <v>Gennaio-febbraio 24</v>
      </c>
      <c r="F105" s="90"/>
    </row>
    <row r="106" spans="1:6" x14ac:dyDescent="0.2">
      <c r="A106" s="89"/>
      <c r="B106" s="90"/>
      <c r="C106" s="90"/>
      <c r="D106" s="90"/>
      <c r="E106" s="90"/>
      <c r="F106" s="90"/>
    </row>
    <row r="107" spans="1:6" ht="25.5" x14ac:dyDescent="0.2">
      <c r="A107" s="90"/>
      <c r="B107" s="88" t="s">
        <v>204</v>
      </c>
      <c r="C107" s="88" t="s">
        <v>593</v>
      </c>
      <c r="D107" s="88" t="s">
        <v>594</v>
      </c>
      <c r="E107" s="88" t="s">
        <v>595</v>
      </c>
      <c r="F107" s="90"/>
    </row>
    <row r="108" spans="1:6" x14ac:dyDescent="0.2">
      <c r="A108" s="90"/>
      <c r="B108" s="90"/>
      <c r="C108" s="90"/>
      <c r="D108" s="90"/>
      <c r="E108" s="90"/>
      <c r="F108" s="90"/>
    </row>
    <row r="109" spans="1:6" x14ac:dyDescent="0.2">
      <c r="A109" s="90"/>
      <c r="B109" s="88" t="s">
        <v>205</v>
      </c>
      <c r="C109" s="94" t="s">
        <v>618</v>
      </c>
      <c r="D109" s="94" t="s">
        <v>619</v>
      </c>
      <c r="E109" s="94" t="s">
        <v>620</v>
      </c>
      <c r="F109" s="90"/>
    </row>
    <row r="110" spans="1:6" ht="13.5" thickBot="1" x14ac:dyDescent="0.25">
      <c r="A110" s="105"/>
      <c r="B110" s="105"/>
      <c r="C110" s="105"/>
      <c r="D110" s="105"/>
      <c r="E110" s="105"/>
      <c r="F110" s="90"/>
    </row>
    <row r="111" spans="1:6" x14ac:dyDescent="0.2">
      <c r="A111" s="89"/>
      <c r="B111" s="92"/>
      <c r="C111" s="92"/>
      <c r="D111" s="90"/>
      <c r="E111" s="90"/>
      <c r="F111" s="90"/>
    </row>
    <row r="112" spans="1:6" ht="25.5" x14ac:dyDescent="0.2">
      <c r="A112" s="89" t="s">
        <v>207</v>
      </c>
      <c r="B112" s="112" t="s">
        <v>206</v>
      </c>
      <c r="C112" s="112" t="str">
        <f>"Hotel- und Kurbetriebe: Logiernächte im März "&amp;$C$3&amp;", nach Destinationen"</f>
        <v>Hotel- und Kurbetriebe: Logiernächte im März 2025, nach Destinationen</v>
      </c>
      <c r="D112" s="112" t="str">
        <f>"Manaschis d' hotel e da cura: pernottaziuns il mars "&amp;$C$3&amp;", tenor destinaziuns"</f>
        <v>Manaschis d' hotel e da cura: pernottaziuns il mars 2025, tenor destinaziuns</v>
      </c>
      <c r="E112" s="112" t="str">
        <f>"Alberghi e stabilimenti di cura: pernottamenti nel mese di marzo "&amp;$C$3&amp;", per destinazione"</f>
        <v>Alberghi e stabilimenti di cura: pernottamenti nel mese di marzo 2025, per destinazione</v>
      </c>
      <c r="F112" s="90"/>
    </row>
    <row r="113" spans="1:6" ht="25.5" x14ac:dyDescent="0.2">
      <c r="A113" s="89"/>
      <c r="B113" s="112" t="s">
        <v>190</v>
      </c>
      <c r="C113" s="112" t="str">
        <f>"Hotel- und Kurbetriebe: Logiernächte im März "&amp;$C$3&amp;", nach Herkunft"</f>
        <v>Hotel- und Kurbetriebe: Logiernächte im März 2025, nach Herkunft</v>
      </c>
      <c r="D113" s="112" t="str">
        <f>"Manaschis d' hotel e da cura: pernottaziuns il mars "&amp;$C$3&amp;", tenor la derivanza"</f>
        <v>Manaschis d' hotel e da cura: pernottaziuns il mars 2025, tenor la derivanza</v>
      </c>
      <c r="E113" s="112" t="str">
        <f>"Alberghi e stabilimenti di cura: pernottamenti nel mese di marzo "&amp;$C$3&amp;", per provenienza"</f>
        <v>Alberghi e stabilimenti di cura: pernottamenti nel mese di marzo 2025, per provenienza</v>
      </c>
      <c r="F113" s="90"/>
    </row>
    <row r="114" spans="1:6" ht="38.25" x14ac:dyDescent="0.2">
      <c r="A114" s="89"/>
      <c r="B114" s="112" t="s">
        <v>191</v>
      </c>
      <c r="C114" s="112" t="str">
        <f>"Hotel- und Kurbetriebe: Logiernächte im März "&amp;$C$3&amp;", nach Schweizer Tourismusregionen"</f>
        <v>Hotel- und Kurbetriebe: Logiernächte im März 2025, nach Schweizer Tourismusregionen</v>
      </c>
      <c r="D114" s="112" t="str">
        <f>"Manaschis d' hotel e da cura: pernottaziuns il mars "&amp;$C$3&amp;", tenor regiuns turisticas svizras"</f>
        <v>Manaschis d' hotel e da cura: pernottaziuns il mars 2025, tenor regiuns turisticas svizras</v>
      </c>
      <c r="E114" s="112" t="str">
        <f>"Alberghi e stabilimenti di cura: pernottamenti nel mese di marzo "&amp;$C$3&amp;", per regioni turistiche svizzere"</f>
        <v>Alberghi e stabilimenti di cura: pernottamenti nel mese di marzo 2025, per regioni turistiche svizzere</v>
      </c>
      <c r="F114" s="90"/>
    </row>
    <row r="115" spans="1:6" x14ac:dyDescent="0.2">
      <c r="A115" s="89"/>
      <c r="B115" s="89"/>
      <c r="C115" s="89"/>
      <c r="D115" s="89"/>
      <c r="E115" s="89"/>
      <c r="F115" s="90"/>
    </row>
    <row r="116" spans="1:6" x14ac:dyDescent="0.2">
      <c r="A116" s="89"/>
      <c r="B116" s="112" t="s">
        <v>192</v>
      </c>
      <c r="C116" s="112" t="str">
        <f>"März "&amp;$C$3</f>
        <v>März 2025</v>
      </c>
      <c r="D116" s="112" t="str">
        <f>"Mars "&amp;$C$3</f>
        <v>Mars 2025</v>
      </c>
      <c r="E116" s="112" t="str">
        <f>"Marzo "&amp;$C$3</f>
        <v>Marzo 2025</v>
      </c>
      <c r="F116" s="90"/>
    </row>
    <row r="117" spans="1:6" x14ac:dyDescent="0.2">
      <c r="A117" s="89"/>
      <c r="B117" s="112" t="s">
        <v>193</v>
      </c>
      <c r="C117" s="112" t="str">
        <f>"März "&amp;$C$3-1</f>
        <v>März 2024</v>
      </c>
      <c r="D117" s="112" t="str">
        <f>"Mars "&amp;$C$3-1</f>
        <v>Mars 2024</v>
      </c>
      <c r="E117" s="112" t="str">
        <f>"Marzo "&amp;$C$3-1</f>
        <v>Marzo 2024</v>
      </c>
      <c r="F117" s="90"/>
    </row>
    <row r="118" spans="1:6" x14ac:dyDescent="0.2">
      <c r="A118" s="89"/>
      <c r="B118" s="112" t="s">
        <v>194</v>
      </c>
      <c r="C118" s="112" t="str">
        <f>"Januar-März "&amp;$D$3</f>
        <v>Januar-März 25</v>
      </c>
      <c r="D118" s="112" t="str">
        <f>"Schaner-mars "&amp;$D$3</f>
        <v>Schaner-mars 25</v>
      </c>
      <c r="E118" s="112" t="str">
        <f>"Gennaio-marzo "&amp;$D$3</f>
        <v>Gennaio-marzo 25</v>
      </c>
      <c r="F118" s="90"/>
    </row>
    <row r="119" spans="1:6" x14ac:dyDescent="0.2">
      <c r="A119" s="89"/>
      <c r="B119" s="112" t="s">
        <v>195</v>
      </c>
      <c r="C119" s="112" t="str">
        <f>"Januar-März "&amp;$D$3-1</f>
        <v>Januar-März 24</v>
      </c>
      <c r="D119" s="112" t="str">
        <f>"Schaner-mars "&amp;$D$3-1</f>
        <v>Schaner-mars 24</v>
      </c>
      <c r="E119" s="112" t="str">
        <f>"Gennaio-marzo "&amp;$D$3-1</f>
        <v>Gennaio-marzo 24</v>
      </c>
      <c r="F119" s="90"/>
    </row>
    <row r="120" spans="1:6" x14ac:dyDescent="0.2">
      <c r="A120" s="89"/>
      <c r="B120" s="90"/>
      <c r="C120" s="90"/>
      <c r="D120" s="90"/>
      <c r="E120" s="90"/>
      <c r="F120" s="90"/>
    </row>
    <row r="121" spans="1:6" ht="25.5" x14ac:dyDescent="0.2">
      <c r="A121" s="90"/>
      <c r="B121" s="88" t="s">
        <v>196</v>
      </c>
      <c r="C121" s="88" t="s">
        <v>596</v>
      </c>
      <c r="D121" s="88" t="s">
        <v>598</v>
      </c>
      <c r="E121" s="88" t="s">
        <v>597</v>
      </c>
      <c r="F121" s="90"/>
    </row>
    <row r="122" spans="1:6" x14ac:dyDescent="0.2">
      <c r="A122" s="90"/>
      <c r="B122" s="90"/>
      <c r="C122" s="90"/>
      <c r="D122" s="90"/>
      <c r="E122" s="90"/>
      <c r="F122" s="90"/>
    </row>
    <row r="123" spans="1:6" x14ac:dyDescent="0.2">
      <c r="A123" s="90"/>
      <c r="B123" s="88" t="s">
        <v>197</v>
      </c>
      <c r="C123" s="94" t="s">
        <v>618</v>
      </c>
      <c r="D123" s="94" t="s">
        <v>619</v>
      </c>
      <c r="E123" s="94" t="s">
        <v>620</v>
      </c>
      <c r="F123" s="90"/>
    </row>
    <row r="124" spans="1:6" ht="13.5" thickBot="1" x14ac:dyDescent="0.25">
      <c r="A124" s="105"/>
      <c r="B124" s="105"/>
      <c r="C124" s="105"/>
      <c r="D124" s="105"/>
      <c r="E124" s="105"/>
      <c r="F124" s="90"/>
    </row>
    <row r="125" spans="1:6" x14ac:dyDescent="0.2">
      <c r="A125" s="89"/>
      <c r="B125" s="92"/>
      <c r="C125" s="92"/>
      <c r="D125" s="90"/>
      <c r="E125" s="90"/>
      <c r="F125" s="90"/>
    </row>
    <row r="126" spans="1:6" ht="25.5" x14ac:dyDescent="0.2">
      <c r="A126" s="89" t="s">
        <v>208</v>
      </c>
      <c r="B126" s="112" t="s">
        <v>209</v>
      </c>
      <c r="C126" s="112" t="str">
        <f>"Hotel- und Kurbetriebe: Logiernächte im April "&amp;$C$3&amp;", nach Destinationen"</f>
        <v>Hotel- und Kurbetriebe: Logiernächte im April 2025, nach Destinationen</v>
      </c>
      <c r="D126" s="112" t="str">
        <f>"Manaschis d' hotel e da cura: pernottaziuns il avrigl "&amp;$C$3&amp;", tenor destinaziuns"</f>
        <v>Manaschis d' hotel e da cura: pernottaziuns il avrigl 2025, tenor destinaziuns</v>
      </c>
      <c r="E126" s="112" t="str">
        <f>"Alberghi e stabilimenti di cura: pernottamenti nel mese di aprile "&amp;$C$3&amp;", per destinazione"</f>
        <v>Alberghi e stabilimenti di cura: pernottamenti nel mese di aprile 2025, per destinazione</v>
      </c>
      <c r="F126" s="90"/>
    </row>
    <row r="127" spans="1:6" ht="25.5" x14ac:dyDescent="0.2">
      <c r="A127" s="89"/>
      <c r="B127" s="112" t="s">
        <v>210</v>
      </c>
      <c r="C127" s="112" t="str">
        <f>"Hotel- und Kurbetriebe: Logiernächte im April "&amp;$C$3&amp;", nach Herkunft"</f>
        <v>Hotel- und Kurbetriebe: Logiernächte im April 2025, nach Herkunft</v>
      </c>
      <c r="D127" s="112" t="str">
        <f>"Manaschis d' hotel e da cura: pernottaziuns il avrigl "&amp;$C$3&amp;", tenor la derivanza"</f>
        <v>Manaschis d' hotel e da cura: pernottaziuns il avrigl 2025, tenor la derivanza</v>
      </c>
      <c r="E127" s="112" t="str">
        <f>"Alberghi e stabilimenti di cura: pernottamenti nel mese di aprile "&amp;$C$3&amp;", per provenienza"</f>
        <v>Alberghi e stabilimenti di cura: pernottamenti nel mese di aprile 2025, per provenienza</v>
      </c>
      <c r="F127" s="90"/>
    </row>
    <row r="128" spans="1:6" ht="38.25" x14ac:dyDescent="0.2">
      <c r="A128" s="89"/>
      <c r="B128" s="112" t="s">
        <v>211</v>
      </c>
      <c r="C128" s="112" t="str">
        <f>"Hotel- und Kurbetriebe: Logiernächte im April "&amp;$C$3&amp;", nach Schweizer Tourismusregionen"</f>
        <v>Hotel- und Kurbetriebe: Logiernächte im April 2025, nach Schweizer Tourismusregionen</v>
      </c>
      <c r="D128" s="112" t="str">
        <f>"Manaschis d' hotel e da cura: pernottaziuns il avrigl "&amp;$C$3&amp;", tenor regiuns turisticas svizras"</f>
        <v>Manaschis d' hotel e da cura: pernottaziuns il avrigl 2025, tenor regiuns turisticas svizras</v>
      </c>
      <c r="E128" s="112" t="str">
        <f>"Alberghi e stabilimenti di cura: pernottamenti nel mese di aprile "&amp;$C$3&amp;", per regioni turistiche svizzere"</f>
        <v>Alberghi e stabilimenti di cura: pernottamenti nel mese di aprile 2025, per regioni turistiche svizzere</v>
      </c>
      <c r="F128" s="90"/>
    </row>
    <row r="129" spans="1:6" x14ac:dyDescent="0.2">
      <c r="A129" s="89"/>
      <c r="B129" s="89"/>
      <c r="C129" s="89"/>
      <c r="D129" s="89"/>
      <c r="E129" s="89"/>
      <c r="F129" s="90"/>
    </row>
    <row r="130" spans="1:6" x14ac:dyDescent="0.2">
      <c r="A130" s="89"/>
      <c r="B130" s="112" t="s">
        <v>212</v>
      </c>
      <c r="C130" s="112" t="str">
        <f>"April "&amp;$C$3</f>
        <v>April 2025</v>
      </c>
      <c r="D130" s="112" t="str">
        <f>"Avrigl "&amp;$C$3</f>
        <v>Avrigl 2025</v>
      </c>
      <c r="E130" s="112" t="str">
        <f>"Aprile "&amp;$C$3</f>
        <v>Aprile 2025</v>
      </c>
      <c r="F130" s="90"/>
    </row>
    <row r="131" spans="1:6" x14ac:dyDescent="0.2">
      <c r="A131" s="89"/>
      <c r="B131" s="112" t="s">
        <v>213</v>
      </c>
      <c r="C131" s="112" t="str">
        <f>"April "&amp;$C$3-1</f>
        <v>April 2024</v>
      </c>
      <c r="D131" s="112" t="str">
        <f>"Avrigl "&amp;$C$3-1</f>
        <v>Avrigl 2024</v>
      </c>
      <c r="E131" s="112" t="str">
        <f>"Aprile "&amp;$C$3-1</f>
        <v>Aprile 2024</v>
      </c>
      <c r="F131" s="90"/>
    </row>
    <row r="132" spans="1:6" x14ac:dyDescent="0.2">
      <c r="A132" s="89"/>
      <c r="B132" s="112" t="s">
        <v>216</v>
      </c>
      <c r="C132" s="112" t="str">
        <f>"Januar-April "&amp;$D$3</f>
        <v>Januar-April 25</v>
      </c>
      <c r="D132" s="112" t="str">
        <f>"Schaner-avrigl "&amp;$D$3</f>
        <v>Schaner-avrigl 25</v>
      </c>
      <c r="E132" s="112" t="str">
        <f>"Gennaio-aprile "&amp;$D$3</f>
        <v>Gennaio-aprile 25</v>
      </c>
      <c r="F132" s="90"/>
    </row>
    <row r="133" spans="1:6" x14ac:dyDescent="0.2">
      <c r="A133" s="89"/>
      <c r="B133" s="112" t="s">
        <v>215</v>
      </c>
      <c r="C133" s="112" t="str">
        <f>"Januar-April "&amp;$D$3-1</f>
        <v>Januar-April 24</v>
      </c>
      <c r="D133" s="112" t="str">
        <f>"Schaner-avrigl "&amp;$D$3-1</f>
        <v>Schaner-avrigl 24</v>
      </c>
      <c r="E133" s="112" t="str">
        <f>"Gennaio-aprile "&amp;$D$3-1</f>
        <v>Gennaio-aprile 24</v>
      </c>
      <c r="F133" s="90"/>
    </row>
    <row r="134" spans="1:6" x14ac:dyDescent="0.2">
      <c r="A134" s="89"/>
      <c r="B134" s="90"/>
      <c r="C134" s="90"/>
      <c r="D134" s="90"/>
      <c r="E134" s="90"/>
      <c r="F134" s="90"/>
    </row>
    <row r="135" spans="1:6" ht="25.5" x14ac:dyDescent="0.2">
      <c r="A135" s="90"/>
      <c r="B135" s="88" t="s">
        <v>217</v>
      </c>
      <c r="C135" s="88" t="s">
        <v>599</v>
      </c>
      <c r="D135" s="88" t="s">
        <v>600</v>
      </c>
      <c r="E135" s="88" t="s">
        <v>601</v>
      </c>
      <c r="F135" s="90"/>
    </row>
    <row r="136" spans="1:6" x14ac:dyDescent="0.2">
      <c r="A136" s="90"/>
      <c r="B136" s="90"/>
      <c r="C136" s="90"/>
      <c r="D136" s="90"/>
      <c r="E136" s="90"/>
      <c r="F136" s="90"/>
    </row>
    <row r="137" spans="1:6" x14ac:dyDescent="0.2">
      <c r="A137" s="90"/>
      <c r="B137" s="88" t="s">
        <v>218</v>
      </c>
      <c r="C137" s="94" t="s">
        <v>618</v>
      </c>
      <c r="D137" s="94" t="s">
        <v>619</v>
      </c>
      <c r="E137" s="94" t="s">
        <v>620</v>
      </c>
      <c r="F137" s="90"/>
    </row>
    <row r="138" spans="1:6" ht="13.5" thickBot="1" x14ac:dyDescent="0.25">
      <c r="A138" s="105"/>
      <c r="B138" s="105"/>
      <c r="C138" s="105"/>
      <c r="D138" s="105"/>
      <c r="E138" s="105"/>
      <c r="F138" s="90"/>
    </row>
    <row r="139" spans="1:6" x14ac:dyDescent="0.2">
      <c r="A139" s="89"/>
      <c r="B139" s="92"/>
      <c r="C139" s="92"/>
      <c r="D139" s="90"/>
      <c r="E139" s="90"/>
      <c r="F139" s="90"/>
    </row>
    <row r="140" spans="1:6" ht="25.5" x14ac:dyDescent="0.2">
      <c r="A140" s="89" t="s">
        <v>219</v>
      </c>
      <c r="B140" s="112" t="s">
        <v>220</v>
      </c>
      <c r="C140" s="112" t="str">
        <f>"Hotel- und Kurbetriebe: Logiernächte im Mai "&amp;$C$3&amp;", nach Destinationen"</f>
        <v>Hotel- und Kurbetriebe: Logiernächte im Mai 2025, nach Destinationen</v>
      </c>
      <c r="D140" s="112" t="str">
        <f>"Manaschis d' hotel e da cura: pernottaziuns il matg "&amp;$C$3&amp;", tenor destinaziuns"</f>
        <v>Manaschis d' hotel e da cura: pernottaziuns il matg 2025, tenor destinaziuns</v>
      </c>
      <c r="E140" s="112" t="str">
        <f>"Alberghi e stabilimenti di cura: pernottamenti nel mese di maggio "&amp;$C$3&amp;", per destinazione"</f>
        <v>Alberghi e stabilimenti di cura: pernottamenti nel mese di maggio 2025, per destinazione</v>
      </c>
      <c r="F140" s="90"/>
    </row>
    <row r="141" spans="1:6" ht="25.5" x14ac:dyDescent="0.2">
      <c r="A141" s="89"/>
      <c r="B141" s="112" t="s">
        <v>221</v>
      </c>
      <c r="C141" s="112" t="str">
        <f>"Hotel- und Kurbetriebe: Logiernächte im Mai "&amp;$C$3&amp;", nach Herkunft"</f>
        <v>Hotel- und Kurbetriebe: Logiernächte im Mai 2025, nach Herkunft</v>
      </c>
      <c r="D141" s="112" t="str">
        <f>"Manaschis d' hotel e da cura: pernottaziuns il matg "&amp;$C$3&amp;", tenor la derivanza"</f>
        <v>Manaschis d' hotel e da cura: pernottaziuns il matg 2025, tenor la derivanza</v>
      </c>
      <c r="E141" s="112" t="str">
        <f>"Alberghi e stabilimenti di cura: pernottamenti nel mese di maggio "&amp;$C$3&amp;", per provenienza"</f>
        <v>Alberghi e stabilimenti di cura: pernottamenti nel mese di maggio 2025, per provenienza</v>
      </c>
      <c r="F141" s="90"/>
    </row>
    <row r="142" spans="1:6" ht="38.25" x14ac:dyDescent="0.2">
      <c r="A142" s="89"/>
      <c r="B142" s="112" t="s">
        <v>222</v>
      </c>
      <c r="C142" s="112" t="str">
        <f>"Hotel- und Kurbetriebe: Logiernächte im Mai "&amp;$C$3&amp;", nach Schweizer Tourismusregionen"</f>
        <v>Hotel- und Kurbetriebe: Logiernächte im Mai 2025, nach Schweizer Tourismusregionen</v>
      </c>
      <c r="D142" s="112" t="str">
        <f>"Manaschis d' hotel e da cura: pernottaziuns il matg "&amp;$C$3&amp;", tenor regiuns turisticas svizras"</f>
        <v>Manaschis d' hotel e da cura: pernottaziuns il matg 2025, tenor regiuns turisticas svizras</v>
      </c>
      <c r="E142" s="112" t="str">
        <f>"Alberghi e stabilimenti di cura: pernottamenti nel mese di maggio "&amp;$C$3&amp;", per regioni turistiche svizzere"</f>
        <v>Alberghi e stabilimenti di cura: pernottamenti nel mese di maggio 2025, per regioni turistiche svizzere</v>
      </c>
      <c r="F142" s="90"/>
    </row>
    <row r="143" spans="1:6" x14ac:dyDescent="0.2">
      <c r="A143" s="89"/>
      <c r="B143" s="89"/>
      <c r="C143" s="89"/>
      <c r="D143" s="89"/>
      <c r="E143" s="89"/>
      <c r="F143" s="90"/>
    </row>
    <row r="144" spans="1:6" x14ac:dyDescent="0.2">
      <c r="A144" s="89"/>
      <c r="B144" s="112" t="s">
        <v>223</v>
      </c>
      <c r="C144" s="112" t="str">
        <f>"Mai "&amp;$C$3</f>
        <v>Mai 2025</v>
      </c>
      <c r="D144" s="112" t="str">
        <f>"Matg "&amp;$C$3</f>
        <v>Matg 2025</v>
      </c>
      <c r="E144" s="112" t="str">
        <f>"Maggio "&amp;$C$3</f>
        <v>Maggio 2025</v>
      </c>
      <c r="F144" s="90"/>
    </row>
    <row r="145" spans="1:6" x14ac:dyDescent="0.2">
      <c r="A145" s="89"/>
      <c r="B145" s="112" t="s">
        <v>224</v>
      </c>
      <c r="C145" s="112" t="str">
        <f>"Mai "&amp;$C$3-1</f>
        <v>Mai 2024</v>
      </c>
      <c r="D145" s="112" t="str">
        <f>"Matg "&amp;$C$3-1</f>
        <v>Matg 2024</v>
      </c>
      <c r="E145" s="112" t="str">
        <f>"Maggio "&amp;$C$3-1</f>
        <v>Maggio 2024</v>
      </c>
      <c r="F145" s="90"/>
    </row>
    <row r="146" spans="1:6" x14ac:dyDescent="0.2">
      <c r="A146" s="89"/>
      <c r="B146" s="112" t="s">
        <v>214</v>
      </c>
      <c r="C146" s="112" t="str">
        <f>"Januar-Mai "&amp;$D$3</f>
        <v>Januar-Mai 25</v>
      </c>
      <c r="D146" s="112" t="str">
        <f>"Schaner-matg "&amp;$D$3</f>
        <v>Schaner-matg 25</v>
      </c>
      <c r="E146" s="112" t="str">
        <f>"Gennaio-maggio "&amp;$D$3</f>
        <v>Gennaio-maggio 25</v>
      </c>
      <c r="F146" s="90"/>
    </row>
    <row r="147" spans="1:6" x14ac:dyDescent="0.2">
      <c r="A147" s="89"/>
      <c r="B147" s="112" t="s">
        <v>225</v>
      </c>
      <c r="C147" s="112" t="str">
        <f>"Januar-Mai "&amp;$D$3-1</f>
        <v>Januar-Mai 24</v>
      </c>
      <c r="D147" s="112" t="str">
        <f>"Schaner-matg "&amp;$D$3-1</f>
        <v>Schaner-matg 24</v>
      </c>
      <c r="E147" s="112" t="str">
        <f>"Gennaio-maggio "&amp;$D$3-1</f>
        <v>Gennaio-maggio 24</v>
      </c>
      <c r="F147" s="90"/>
    </row>
    <row r="148" spans="1:6" x14ac:dyDescent="0.2">
      <c r="A148" s="89"/>
      <c r="B148" s="90"/>
      <c r="C148" s="90"/>
      <c r="D148" s="90"/>
      <c r="E148" s="90"/>
      <c r="F148" s="90"/>
    </row>
    <row r="149" spans="1:6" ht="25.5" x14ac:dyDescent="0.2">
      <c r="A149" s="90"/>
      <c r="B149" s="88" t="s">
        <v>226</v>
      </c>
      <c r="C149" s="88" t="s">
        <v>581</v>
      </c>
      <c r="D149" s="88" t="s">
        <v>582</v>
      </c>
      <c r="E149" s="88" t="s">
        <v>583</v>
      </c>
      <c r="F149" s="90"/>
    </row>
    <row r="150" spans="1:6" x14ac:dyDescent="0.2">
      <c r="A150" s="90"/>
      <c r="B150" s="90"/>
      <c r="C150" s="90"/>
      <c r="D150" s="90"/>
      <c r="E150" s="90"/>
      <c r="F150" s="90"/>
    </row>
    <row r="151" spans="1:6" x14ac:dyDescent="0.2">
      <c r="A151" s="90"/>
      <c r="B151" s="88" t="s">
        <v>227</v>
      </c>
      <c r="C151" s="94" t="s">
        <v>618</v>
      </c>
      <c r="D151" s="94" t="s">
        <v>619</v>
      </c>
      <c r="E151" s="94" t="s">
        <v>620</v>
      </c>
      <c r="F151" s="90"/>
    </row>
    <row r="152" spans="1:6" ht="13.5" thickBot="1" x14ac:dyDescent="0.25">
      <c r="A152" s="105"/>
      <c r="B152" s="105"/>
      <c r="C152" s="105"/>
      <c r="D152" s="105"/>
      <c r="E152" s="105"/>
      <c r="F152" s="90"/>
    </row>
    <row r="153" spans="1:6" x14ac:dyDescent="0.2">
      <c r="A153" s="89"/>
      <c r="B153" s="92"/>
      <c r="C153" s="92"/>
      <c r="D153" s="90"/>
      <c r="E153" s="90"/>
      <c r="F153" s="90"/>
    </row>
    <row r="154" spans="1:6" ht="25.5" x14ac:dyDescent="0.2">
      <c r="A154" s="89" t="s">
        <v>228</v>
      </c>
      <c r="B154" s="112" t="s">
        <v>229</v>
      </c>
      <c r="C154" s="112" t="str">
        <f>"Hotel- und Kurbetriebe: Logiernächte im Juni "&amp;$C$3&amp;", nach Destinationen"</f>
        <v>Hotel- und Kurbetriebe: Logiernächte im Juni 2025, nach Destinationen</v>
      </c>
      <c r="D154" s="112" t="str">
        <f>"Manaschis d' hotel e da cura: pernottaziuns il zercladur "&amp;$C$3&amp;", tenor destinaziuns"</f>
        <v>Manaschis d' hotel e da cura: pernottaziuns il zercladur 2025, tenor destinaziuns</v>
      </c>
      <c r="E154" s="112" t="str">
        <f>"Alberghi e stabilimenti di cura: pernottamenti nel mese di giugno "&amp;$C$3&amp;", per destinazione"</f>
        <v>Alberghi e stabilimenti di cura: pernottamenti nel mese di giugno 2025, per destinazione</v>
      </c>
      <c r="F154" s="90"/>
    </row>
    <row r="155" spans="1:6" ht="25.5" x14ac:dyDescent="0.2">
      <c r="A155" s="89"/>
      <c r="B155" s="112" t="s">
        <v>230</v>
      </c>
      <c r="C155" s="112" t="str">
        <f>"Hotel- und Kurbetriebe: Logiernächte im Juni "&amp;$C$3&amp;", nach Herkunft"</f>
        <v>Hotel- und Kurbetriebe: Logiernächte im Juni 2025, nach Herkunft</v>
      </c>
      <c r="D155" s="112" t="str">
        <f>"Manaschis d' hotel e da cura: pernottaziuns il zercladur "&amp;$C$3&amp;", tenor la derivanza"</f>
        <v>Manaschis d' hotel e da cura: pernottaziuns il zercladur 2025, tenor la derivanza</v>
      </c>
      <c r="E155" s="112" t="str">
        <f>"Alberghi e stabilimenti di cura: pernottamenti nel mese di giugno "&amp;$C$3&amp;", per provenienza"</f>
        <v>Alberghi e stabilimenti di cura: pernottamenti nel mese di giugno 2025, per provenienza</v>
      </c>
      <c r="F155" s="90"/>
    </row>
    <row r="156" spans="1:6" ht="38.25" x14ac:dyDescent="0.2">
      <c r="A156" s="89"/>
      <c r="B156" s="112" t="s">
        <v>231</v>
      </c>
      <c r="C156" s="112" t="str">
        <f>"Hotel- und Kurbetriebe: Logiernächte im Juni "&amp;$C$3&amp;", nach Schweizer Tourismusregionen"</f>
        <v>Hotel- und Kurbetriebe: Logiernächte im Juni 2025, nach Schweizer Tourismusregionen</v>
      </c>
      <c r="D156" s="112" t="str">
        <f>"Manaschis d' hotel e da cura: pernottaziuns il zercladur "&amp;$C$3&amp;", tenor regiuns turisticas svizras"</f>
        <v>Manaschis d' hotel e da cura: pernottaziuns il zercladur 2025, tenor regiuns turisticas svizras</v>
      </c>
      <c r="E156" s="112" t="str">
        <f>"Alberghi e stabilimenti di cura: pernottamenti nel mese di giugno "&amp;$C$3&amp;", per regioni turistiche svizzere"</f>
        <v>Alberghi e stabilimenti di cura: pernottamenti nel mese di giugno 2025, per regioni turistiche svizzere</v>
      </c>
      <c r="F156" s="90"/>
    </row>
    <row r="157" spans="1:6" x14ac:dyDescent="0.2">
      <c r="A157" s="89"/>
      <c r="B157" s="89"/>
      <c r="C157" s="89"/>
      <c r="D157" s="89"/>
      <c r="E157" s="89"/>
      <c r="F157" s="90"/>
    </row>
    <row r="158" spans="1:6" x14ac:dyDescent="0.2">
      <c r="A158" s="89"/>
      <c r="B158" s="112" t="s">
        <v>232</v>
      </c>
      <c r="C158" s="112" t="str">
        <f>"Juni "&amp;$C$3</f>
        <v>Juni 2025</v>
      </c>
      <c r="D158" s="112" t="str">
        <f>"Zercladur "&amp;$C$3</f>
        <v>Zercladur 2025</v>
      </c>
      <c r="E158" s="112" t="str">
        <f>"Giugno "&amp;$C$3</f>
        <v>Giugno 2025</v>
      </c>
      <c r="F158" s="90"/>
    </row>
    <row r="159" spans="1:6" x14ac:dyDescent="0.2">
      <c r="A159" s="89"/>
      <c r="B159" s="112" t="s">
        <v>233</v>
      </c>
      <c r="C159" s="112" t="str">
        <f>"Juni "&amp;$C$3-1</f>
        <v>Juni 2024</v>
      </c>
      <c r="D159" s="112" t="str">
        <f>"Zercladur "&amp;$C$3-1</f>
        <v>Zercladur 2024</v>
      </c>
      <c r="E159" s="112" t="str">
        <f>"Giugno "&amp;$C$3-1</f>
        <v>Giugno 2024</v>
      </c>
      <c r="F159" s="90"/>
    </row>
    <row r="160" spans="1:6" x14ac:dyDescent="0.2">
      <c r="A160" s="89"/>
      <c r="B160" s="112" t="s">
        <v>234</v>
      </c>
      <c r="C160" s="112" t="str">
        <f>"Januar-Juni "&amp;$D$3</f>
        <v>Januar-Juni 25</v>
      </c>
      <c r="D160" s="112" t="str">
        <f>"Schaner-zercladur "&amp;$D$3</f>
        <v>Schaner-zercladur 25</v>
      </c>
      <c r="E160" s="112" t="str">
        <f>"Gennaio-giugno "&amp;$D$3</f>
        <v>Gennaio-giugno 25</v>
      </c>
      <c r="F160" s="90"/>
    </row>
    <row r="161" spans="1:6" x14ac:dyDescent="0.2">
      <c r="A161" s="89"/>
      <c r="B161" s="112" t="s">
        <v>235</v>
      </c>
      <c r="C161" s="112" t="str">
        <f>"Januar-Juni "&amp;$D$3-1</f>
        <v>Januar-Juni 24</v>
      </c>
      <c r="D161" s="112" t="str">
        <f>"Schaner-zercladur "&amp;$D$3-1</f>
        <v>Schaner-zercladur 24</v>
      </c>
      <c r="E161" s="112" t="str">
        <f>"Gennaio-giugno "&amp;$D$3-1</f>
        <v>Gennaio-giugno 24</v>
      </c>
      <c r="F161" s="90"/>
    </row>
    <row r="162" spans="1:6" x14ac:dyDescent="0.2">
      <c r="A162" s="89"/>
      <c r="B162" s="90"/>
      <c r="C162" s="90"/>
      <c r="D162" s="90"/>
      <c r="E162" s="90"/>
      <c r="F162" s="90"/>
    </row>
    <row r="163" spans="1:6" ht="25.5" x14ac:dyDescent="0.2">
      <c r="A163" s="90"/>
      <c r="B163" s="88" t="s">
        <v>236</v>
      </c>
      <c r="C163" s="88" t="s">
        <v>584</v>
      </c>
      <c r="D163" s="88" t="s">
        <v>585</v>
      </c>
      <c r="E163" s="88" t="s">
        <v>586</v>
      </c>
      <c r="F163" s="90"/>
    </row>
    <row r="164" spans="1:6" x14ac:dyDescent="0.2">
      <c r="A164" s="90"/>
      <c r="B164" s="90"/>
      <c r="C164" s="90"/>
      <c r="D164" s="90"/>
      <c r="E164" s="90"/>
      <c r="F164" s="90"/>
    </row>
    <row r="165" spans="1:6" x14ac:dyDescent="0.2">
      <c r="A165" s="90"/>
      <c r="B165" s="88" t="s">
        <v>237</v>
      </c>
      <c r="C165" s="94" t="s">
        <v>618</v>
      </c>
      <c r="D165" s="94" t="s">
        <v>619</v>
      </c>
      <c r="E165" s="94" t="s">
        <v>620</v>
      </c>
      <c r="F165" s="90"/>
    </row>
    <row r="166" spans="1:6" ht="13.5" thickBot="1" x14ac:dyDescent="0.25">
      <c r="A166" s="105"/>
      <c r="B166" s="105"/>
      <c r="C166" s="105"/>
      <c r="D166" s="105"/>
      <c r="E166" s="105"/>
      <c r="F166" s="90"/>
    </row>
    <row r="167" spans="1:6" x14ac:dyDescent="0.2">
      <c r="A167" s="89"/>
      <c r="B167" s="92"/>
      <c r="C167" s="92"/>
      <c r="D167" s="90"/>
      <c r="E167" s="90"/>
      <c r="F167" s="90"/>
    </row>
    <row r="168" spans="1:6" ht="25.5" x14ac:dyDescent="0.2">
      <c r="A168" s="89" t="s">
        <v>238</v>
      </c>
      <c r="B168" s="112" t="s">
        <v>239</v>
      </c>
      <c r="C168" s="112" t="str">
        <f>"Hotel- und Kurbetriebe: Logiernächte im Juli "&amp;$C$3&amp;", nach Destinationen"</f>
        <v>Hotel- und Kurbetriebe: Logiernächte im Juli 2025, nach Destinationen</v>
      </c>
      <c r="D168" s="112" t="str">
        <f>"Manaschis d' hotel e da cura: pernottaziuns il fanadur "&amp;$C$3&amp;", tenor destinaziuns"</f>
        <v>Manaschis d' hotel e da cura: pernottaziuns il fanadur 2025, tenor destinaziuns</v>
      </c>
      <c r="E168" s="112" t="str">
        <f>"Alberghi e stabilimenti di cura: pernottamenti nel mese di luglio "&amp;$C$3&amp;", per destinazione"</f>
        <v>Alberghi e stabilimenti di cura: pernottamenti nel mese di luglio 2025, per destinazione</v>
      </c>
      <c r="F168" s="90"/>
    </row>
    <row r="169" spans="1:6" ht="25.5" x14ac:dyDescent="0.2">
      <c r="A169" s="89"/>
      <c r="B169" s="112" t="s">
        <v>240</v>
      </c>
      <c r="C169" s="112" t="str">
        <f>"Hotel- und Kurbetriebe: Logiernächte im Juli "&amp;$C$3&amp;", nach Herkunft"</f>
        <v>Hotel- und Kurbetriebe: Logiernächte im Juli 2025, nach Herkunft</v>
      </c>
      <c r="D169" s="112" t="str">
        <f>"Manaschis d' hotel e da cura: pernottaziuns il fanadur "&amp;$C$3&amp;", tenor la derivanza"</f>
        <v>Manaschis d' hotel e da cura: pernottaziuns il fanadur 2025, tenor la derivanza</v>
      </c>
      <c r="E169" s="112" t="str">
        <f>"Alberghi e stabilimenti di cura: pernottamenti nel mese di luglio "&amp;$C$3&amp;", per provenienza"</f>
        <v>Alberghi e stabilimenti di cura: pernottamenti nel mese di luglio 2025, per provenienza</v>
      </c>
      <c r="F169" s="90"/>
    </row>
    <row r="170" spans="1:6" ht="38.25" x14ac:dyDescent="0.2">
      <c r="A170" s="89"/>
      <c r="B170" s="112" t="s">
        <v>241</v>
      </c>
      <c r="C170" s="112" t="str">
        <f>"Hotel- und Kurbetriebe: Logiernächte im Juli "&amp;$C$3&amp;", nach Schweizer Tourismusregionen"</f>
        <v>Hotel- und Kurbetriebe: Logiernächte im Juli 2025, nach Schweizer Tourismusregionen</v>
      </c>
      <c r="D170" s="112" t="str">
        <f>"Manaschis d' hotel e da cura: pernottaziuns il fanadur "&amp;$C$3&amp;", tenor regiuns turisticas svizras"</f>
        <v>Manaschis d' hotel e da cura: pernottaziuns il fanadur 2025, tenor regiuns turisticas svizras</v>
      </c>
      <c r="E170" s="112" t="str">
        <f>"Alberghi e stabilimenti di cura: pernottamenti nel mese di luglio "&amp;$C$3&amp;", per regioni turistiche svizzere"</f>
        <v>Alberghi e stabilimenti di cura: pernottamenti nel mese di luglio 2025, per regioni turistiche svizzere</v>
      </c>
      <c r="F170" s="90"/>
    </row>
    <row r="171" spans="1:6" x14ac:dyDescent="0.2">
      <c r="A171" s="89"/>
      <c r="B171" s="89"/>
      <c r="C171" s="89"/>
      <c r="D171" s="89"/>
      <c r="E171" s="89"/>
      <c r="F171" s="90"/>
    </row>
    <row r="172" spans="1:6" x14ac:dyDescent="0.2">
      <c r="A172" s="89"/>
      <c r="B172" s="112" t="s">
        <v>242</v>
      </c>
      <c r="C172" s="112" t="str">
        <f>"Juli "&amp;$C$3</f>
        <v>Juli 2025</v>
      </c>
      <c r="D172" s="112" t="str">
        <f>"Fanadur "&amp;$C$3</f>
        <v>Fanadur 2025</v>
      </c>
      <c r="E172" s="112" t="str">
        <f>"Luglio "&amp;$C$3</f>
        <v>Luglio 2025</v>
      </c>
      <c r="F172" s="90"/>
    </row>
    <row r="173" spans="1:6" x14ac:dyDescent="0.2">
      <c r="A173" s="89"/>
      <c r="B173" s="112" t="s">
        <v>243</v>
      </c>
      <c r="C173" s="112" t="str">
        <f>"Juli "&amp;$C$3-1</f>
        <v>Juli 2024</v>
      </c>
      <c r="D173" s="112" t="str">
        <f>"Fanadur "&amp;$C$3-1</f>
        <v>Fanadur 2024</v>
      </c>
      <c r="E173" s="112" t="str">
        <f>"Luglio "&amp;$C$3-1</f>
        <v>Luglio 2024</v>
      </c>
      <c r="F173" s="90"/>
    </row>
    <row r="174" spans="1:6" x14ac:dyDescent="0.2">
      <c r="A174" s="89"/>
      <c r="B174" s="112" t="s">
        <v>244</v>
      </c>
      <c r="C174" s="112" t="str">
        <f>"Januar-Juli "&amp;$D$3</f>
        <v>Januar-Juli 25</v>
      </c>
      <c r="D174" s="112" t="str">
        <f>"Schaner-fanadur "&amp;$D$3</f>
        <v>Schaner-fanadur 25</v>
      </c>
      <c r="E174" s="112" t="str">
        <f>"Gennaio-luglio "&amp;$D$3</f>
        <v>Gennaio-luglio 25</v>
      </c>
      <c r="F174" s="90"/>
    </row>
    <row r="175" spans="1:6" x14ac:dyDescent="0.2">
      <c r="A175" s="89"/>
      <c r="B175" s="112" t="s">
        <v>245</v>
      </c>
      <c r="C175" s="112" t="str">
        <f>"Januar-Juli "&amp;$D$3-1</f>
        <v>Januar-Juli 24</v>
      </c>
      <c r="D175" s="112" t="str">
        <f>"Schaner-fanadur "&amp;$D$3-1</f>
        <v>Schaner-fanadur 24</v>
      </c>
      <c r="E175" s="112" t="str">
        <f>"Gennaio-luglio "&amp;$D$3-1</f>
        <v>Gennaio-luglio 24</v>
      </c>
      <c r="F175" s="90"/>
    </row>
    <row r="176" spans="1:6" x14ac:dyDescent="0.2">
      <c r="A176" s="89"/>
      <c r="B176" s="90"/>
      <c r="C176" s="90"/>
      <c r="D176" s="90"/>
      <c r="E176" s="90"/>
      <c r="F176" s="90"/>
    </row>
    <row r="177" spans="1:6" ht="25.5" x14ac:dyDescent="0.2">
      <c r="A177" s="90"/>
      <c r="B177" s="88" t="s">
        <v>248</v>
      </c>
      <c r="C177" s="88" t="s">
        <v>602</v>
      </c>
      <c r="D177" s="88" t="s">
        <v>603</v>
      </c>
      <c r="E177" s="88" t="s">
        <v>604</v>
      </c>
      <c r="F177" s="90"/>
    </row>
    <row r="178" spans="1:6" x14ac:dyDescent="0.2">
      <c r="A178" s="90"/>
      <c r="B178" s="90"/>
      <c r="C178" s="90"/>
      <c r="D178" s="90"/>
      <c r="E178" s="90"/>
      <c r="F178" s="90"/>
    </row>
    <row r="179" spans="1:6" x14ac:dyDescent="0.2">
      <c r="A179" s="90"/>
      <c r="B179" s="88" t="s">
        <v>247</v>
      </c>
      <c r="C179" s="94" t="s">
        <v>618</v>
      </c>
      <c r="D179" s="94" t="s">
        <v>619</v>
      </c>
      <c r="E179" s="94" t="s">
        <v>620</v>
      </c>
      <c r="F179" s="90"/>
    </row>
    <row r="180" spans="1:6" ht="13.5" thickBot="1" x14ac:dyDescent="0.25">
      <c r="A180" s="105"/>
      <c r="B180" s="105"/>
      <c r="C180" s="105"/>
      <c r="D180" s="105"/>
      <c r="E180" s="105"/>
      <c r="F180" s="90"/>
    </row>
    <row r="181" spans="1:6" x14ac:dyDescent="0.2">
      <c r="A181" s="89"/>
      <c r="B181" s="92"/>
      <c r="C181" s="92"/>
      <c r="D181" s="90"/>
      <c r="E181" s="90"/>
      <c r="F181" s="90"/>
    </row>
    <row r="182" spans="1:6" ht="25.5" x14ac:dyDescent="0.2">
      <c r="A182" s="89" t="s">
        <v>249</v>
      </c>
      <c r="B182" s="112" t="s">
        <v>250</v>
      </c>
      <c r="C182" s="112" t="str">
        <f>"Hotel- und Kurbetriebe: Logiernächte im August "&amp;$C$3&amp;", nach Destinationen"</f>
        <v>Hotel- und Kurbetriebe: Logiernächte im August 2025, nach Destinationen</v>
      </c>
      <c r="D182" s="112" t="str">
        <f>"Manaschis d' hotel e da cura: pernottaziuns il avust "&amp;$C$3&amp;", tenor destinaziuns"</f>
        <v>Manaschis d' hotel e da cura: pernottaziuns il avust 2025, tenor destinaziuns</v>
      </c>
      <c r="E182" s="112" t="str">
        <f>"Alberghi e stabilimenti di cura: pernottamenti nel mese di agosto "&amp;$C$3&amp;", per destinazione"</f>
        <v>Alberghi e stabilimenti di cura: pernottamenti nel mese di agosto 2025, per destinazione</v>
      </c>
      <c r="F182" s="90"/>
    </row>
    <row r="183" spans="1:6" ht="25.5" x14ac:dyDescent="0.2">
      <c r="A183" s="89"/>
      <c r="B183" s="112" t="s">
        <v>251</v>
      </c>
      <c r="C183" s="112" t="str">
        <f>"Hotel- und Kurbetriebe: Logiernächte im August "&amp;$C$3&amp;", nach Herkunft"</f>
        <v>Hotel- und Kurbetriebe: Logiernächte im August 2025, nach Herkunft</v>
      </c>
      <c r="D183" s="112" t="str">
        <f>"Manaschis d' hotel e da cura: pernottaziuns il avust "&amp;$C$3&amp;", tenor la derivanza"</f>
        <v>Manaschis d' hotel e da cura: pernottaziuns il avust 2025, tenor la derivanza</v>
      </c>
      <c r="E183" s="112" t="str">
        <f>"Alberghi e stabilimenti di cura: pernottamenti nel mese di agosto "&amp;$C$3&amp;", per provenienza"</f>
        <v>Alberghi e stabilimenti di cura: pernottamenti nel mese di agosto 2025, per provenienza</v>
      </c>
      <c r="F183" s="90"/>
    </row>
    <row r="184" spans="1:6" ht="38.25" x14ac:dyDescent="0.2">
      <c r="A184" s="89"/>
      <c r="B184" s="112" t="s">
        <v>252</v>
      </c>
      <c r="C184" s="112" t="str">
        <f>"Hotel- und Kurbetriebe: Logiernächte im August "&amp;$C$3&amp;", nach Schweizer Tourismusregionen"</f>
        <v>Hotel- und Kurbetriebe: Logiernächte im August 2025, nach Schweizer Tourismusregionen</v>
      </c>
      <c r="D184" s="112" t="str">
        <f>"Manaschis d' hotel e da cura: pernottaziuns il avust "&amp;$C$3&amp;", tenor regiuns turisticas svizras"</f>
        <v>Manaschis d' hotel e da cura: pernottaziuns il avust 2025, tenor regiuns turisticas svizras</v>
      </c>
      <c r="E184" s="112" t="str">
        <f>"Alberghi e stabilimenti di cura: pernottamenti nel mese di agosto "&amp;$C$3&amp;", per regioni turistiche svizzere"</f>
        <v>Alberghi e stabilimenti di cura: pernottamenti nel mese di agosto 2025, per regioni turistiche svizzere</v>
      </c>
      <c r="F184" s="90"/>
    </row>
    <row r="185" spans="1:6" x14ac:dyDescent="0.2">
      <c r="A185" s="89"/>
      <c r="B185" s="89"/>
      <c r="C185" s="89"/>
      <c r="D185" s="89"/>
      <c r="E185" s="89"/>
      <c r="F185" s="90"/>
    </row>
    <row r="186" spans="1:6" x14ac:dyDescent="0.2">
      <c r="A186" s="89"/>
      <c r="B186" s="112" t="s">
        <v>253</v>
      </c>
      <c r="C186" s="112" t="str">
        <f>"August "&amp;$C$3</f>
        <v>August 2025</v>
      </c>
      <c r="D186" s="112" t="str">
        <f>"Avust "&amp;$C$3</f>
        <v>Avust 2025</v>
      </c>
      <c r="E186" s="112" t="str">
        <f>"Agosto "&amp;$C$3</f>
        <v>Agosto 2025</v>
      </c>
      <c r="F186" s="90"/>
    </row>
    <row r="187" spans="1:6" x14ac:dyDescent="0.2">
      <c r="A187" s="89"/>
      <c r="B187" s="112" t="s">
        <v>254</v>
      </c>
      <c r="C187" s="112" t="str">
        <f>"August "&amp;$C$3-1</f>
        <v>August 2024</v>
      </c>
      <c r="D187" s="112" t="str">
        <f>"Avust "&amp;$C$3-1</f>
        <v>Avust 2024</v>
      </c>
      <c r="E187" s="112" t="str">
        <f>"Agosto "&amp;$C$3-1</f>
        <v>Agosto 2024</v>
      </c>
      <c r="F187" s="90"/>
    </row>
    <row r="188" spans="1:6" x14ac:dyDescent="0.2">
      <c r="A188" s="89"/>
      <c r="B188" s="112" t="s">
        <v>255</v>
      </c>
      <c r="C188" s="112" t="str">
        <f>"Januar-August "&amp;$D$3</f>
        <v>Januar-August 25</v>
      </c>
      <c r="D188" s="112" t="str">
        <f>"Schaner-avust "&amp;$D$3</f>
        <v>Schaner-avust 25</v>
      </c>
      <c r="E188" s="112" t="str">
        <f>"Gennaio-agosto "&amp;$D$3</f>
        <v>Gennaio-agosto 25</v>
      </c>
      <c r="F188" s="90"/>
    </row>
    <row r="189" spans="1:6" x14ac:dyDescent="0.2">
      <c r="A189" s="89"/>
      <c r="B189" s="112" t="s">
        <v>256</v>
      </c>
      <c r="C189" s="112" t="str">
        <f>"Januar-August "&amp;$D$3-1</f>
        <v>Januar-August 24</v>
      </c>
      <c r="D189" s="112" t="str">
        <f>"Schaner-avust "&amp;$D$3-1</f>
        <v>Schaner-avust 24</v>
      </c>
      <c r="E189" s="112" t="str">
        <f>"Gennaio-agosto "&amp;$D$3-1</f>
        <v>Gennaio-agosto 24</v>
      </c>
      <c r="F189" s="90"/>
    </row>
    <row r="190" spans="1:6" x14ac:dyDescent="0.2">
      <c r="A190" s="89"/>
      <c r="B190" s="90"/>
      <c r="C190" s="90"/>
      <c r="D190" s="90"/>
      <c r="E190" s="90"/>
      <c r="F190" s="90"/>
    </row>
    <row r="191" spans="1:6" ht="25.5" x14ac:dyDescent="0.2">
      <c r="A191" s="90"/>
      <c r="B191" s="88" t="s">
        <v>246</v>
      </c>
      <c r="C191" s="88" t="s">
        <v>587</v>
      </c>
      <c r="D191" s="88" t="s">
        <v>588</v>
      </c>
      <c r="E191" s="88" t="s">
        <v>589</v>
      </c>
      <c r="F191" s="90"/>
    </row>
    <row r="192" spans="1:6" x14ac:dyDescent="0.2">
      <c r="A192" s="90"/>
      <c r="B192" s="90"/>
      <c r="C192" s="90"/>
      <c r="D192" s="90"/>
      <c r="E192" s="90"/>
      <c r="F192" s="90"/>
    </row>
    <row r="193" spans="1:6" x14ac:dyDescent="0.2">
      <c r="A193" s="90"/>
      <c r="B193" s="88" t="s">
        <v>257</v>
      </c>
      <c r="C193" s="94" t="s">
        <v>618</v>
      </c>
      <c r="D193" s="94" t="s">
        <v>619</v>
      </c>
      <c r="E193" s="94" t="s">
        <v>620</v>
      </c>
      <c r="F193" s="90"/>
    </row>
    <row r="194" spans="1:6" ht="13.5" thickBot="1" x14ac:dyDescent="0.25">
      <c r="A194" s="105"/>
      <c r="B194" s="105"/>
      <c r="C194" s="105"/>
      <c r="D194" s="105"/>
      <c r="E194" s="105"/>
      <c r="F194" s="90"/>
    </row>
    <row r="195" spans="1:6" x14ac:dyDescent="0.2">
      <c r="A195" s="89"/>
      <c r="B195" s="92"/>
      <c r="C195" s="92"/>
      <c r="D195" s="90"/>
      <c r="E195" s="90"/>
      <c r="F195" s="90"/>
    </row>
    <row r="196" spans="1:6" ht="25.5" x14ac:dyDescent="0.2">
      <c r="A196" s="89" t="s">
        <v>258</v>
      </c>
      <c r="B196" s="112" t="s">
        <v>259</v>
      </c>
      <c r="C196" s="112" t="str">
        <f>"Hotel- und Kurbetriebe: Logiernächte im September "&amp;$C$3&amp;", nach Destinationen"</f>
        <v>Hotel- und Kurbetriebe: Logiernächte im September 2025, nach Destinationen</v>
      </c>
      <c r="D196" s="112" t="str">
        <f>"Manaschis d' hotel e da cura: pernottaziuns il september "&amp;$C$3&amp;", tenor destinaziuns"</f>
        <v>Manaschis d' hotel e da cura: pernottaziuns il september 2025, tenor destinaziuns</v>
      </c>
      <c r="E196" s="112" t="str">
        <f>"Alberghi e stabilimenti di cura: pernottamenti nel mese di settembre "&amp;$C$3&amp;", per destinazione"</f>
        <v>Alberghi e stabilimenti di cura: pernottamenti nel mese di settembre 2025, per destinazione</v>
      </c>
      <c r="F196" s="90"/>
    </row>
    <row r="197" spans="1:6" ht="25.5" x14ac:dyDescent="0.2">
      <c r="A197" s="89"/>
      <c r="B197" s="112" t="s">
        <v>260</v>
      </c>
      <c r="C197" s="112" t="str">
        <f>"Hotel- und Kurbetriebe: Logiernächte im September "&amp;$C$3&amp;", nach Herkunft"</f>
        <v>Hotel- und Kurbetriebe: Logiernächte im September 2025, nach Herkunft</v>
      </c>
      <c r="D197" s="112" t="str">
        <f>"Manaschis d' hotel e da cura: pernottaziuns il september "&amp;$C$3&amp;", tenor la derivanza"</f>
        <v>Manaschis d' hotel e da cura: pernottaziuns il september 2025, tenor la derivanza</v>
      </c>
      <c r="E197" s="112" t="str">
        <f>"Alberghi e stabilimenti di cura: pernottamenti nel mese di settembre "&amp;$C$3&amp;", per provenienza"</f>
        <v>Alberghi e stabilimenti di cura: pernottamenti nel mese di settembre 2025, per provenienza</v>
      </c>
      <c r="F197" s="90"/>
    </row>
    <row r="198" spans="1:6" ht="38.25" x14ac:dyDescent="0.2">
      <c r="A198" s="89"/>
      <c r="B198" s="112" t="s">
        <v>261</v>
      </c>
      <c r="C198" s="112" t="str">
        <f>"Hotel- und Kurbetriebe: Logiernächte im September "&amp;$C$3&amp;", nach Schweizer Tourismusregionen"</f>
        <v>Hotel- und Kurbetriebe: Logiernächte im September 2025, nach Schweizer Tourismusregionen</v>
      </c>
      <c r="D198" s="112" t="str">
        <f>"Manaschis d' hotel e da cura: pernottaziuns il september "&amp;$C$3&amp;", tenor regiuns turisticas svizras"</f>
        <v>Manaschis d' hotel e da cura: pernottaziuns il september 2025, tenor regiuns turisticas svizras</v>
      </c>
      <c r="E198" s="112" t="str">
        <f>"Alberghi e stabilimenti di cura: pernottamenti nel mese di settembre "&amp;$C$3&amp;", per regioni turistiche svizzere"</f>
        <v>Alberghi e stabilimenti di cura: pernottamenti nel mese di settembre 2025, per regioni turistiche svizzere</v>
      </c>
      <c r="F198" s="90"/>
    </row>
    <row r="199" spans="1:6" x14ac:dyDescent="0.2">
      <c r="A199" s="89"/>
      <c r="B199" s="89"/>
      <c r="C199" s="89"/>
      <c r="D199" s="89"/>
      <c r="E199" s="89"/>
      <c r="F199" s="90"/>
    </row>
    <row r="200" spans="1:6" x14ac:dyDescent="0.2">
      <c r="A200" s="89"/>
      <c r="B200" s="112" t="s">
        <v>262</v>
      </c>
      <c r="C200" s="112" t="str">
        <f>"September "&amp;$C$3</f>
        <v>September 2025</v>
      </c>
      <c r="D200" s="112" t="str">
        <f>"September "&amp;$C$3</f>
        <v>September 2025</v>
      </c>
      <c r="E200" s="112" t="str">
        <f>"Settembre "&amp;$C$3</f>
        <v>Settembre 2025</v>
      </c>
      <c r="F200" s="90"/>
    </row>
    <row r="201" spans="1:6" x14ac:dyDescent="0.2">
      <c r="A201" s="89"/>
      <c r="B201" s="112" t="s">
        <v>263</v>
      </c>
      <c r="C201" s="112" t="str">
        <f>"September "&amp;$C$3-1</f>
        <v>September 2024</v>
      </c>
      <c r="D201" s="112" t="str">
        <f>"September "&amp;$C$3-1</f>
        <v>September 2024</v>
      </c>
      <c r="E201" s="112" t="str">
        <f>"Settembre "&amp;$C$3-1</f>
        <v>Settembre 2024</v>
      </c>
      <c r="F201" s="90"/>
    </row>
    <row r="202" spans="1:6" x14ac:dyDescent="0.2">
      <c r="A202" s="89"/>
      <c r="B202" s="112" t="s">
        <v>264</v>
      </c>
      <c r="C202" s="112" t="str">
        <f>"Januar-September "&amp;$D$3</f>
        <v>Januar-September 25</v>
      </c>
      <c r="D202" s="112" t="str">
        <f>"Schaner-september "&amp;$D$3</f>
        <v>Schaner-september 25</v>
      </c>
      <c r="E202" s="112" t="str">
        <f>"Gennaio-settembre "&amp;$D$3</f>
        <v>Gennaio-settembre 25</v>
      </c>
      <c r="F202" s="90"/>
    </row>
    <row r="203" spans="1:6" x14ac:dyDescent="0.2">
      <c r="A203" s="89"/>
      <c r="B203" s="112" t="s">
        <v>265</v>
      </c>
      <c r="C203" s="112" t="str">
        <f>"Januar-September "&amp;$D$3-1</f>
        <v>Januar-September 24</v>
      </c>
      <c r="D203" s="112" t="str">
        <f>"Schaner-september "&amp;$D$3-1</f>
        <v>Schaner-september 24</v>
      </c>
      <c r="E203" s="112" t="str">
        <f>"Gennaio-settembre "&amp;$D$3-1</f>
        <v>Gennaio-settembre 24</v>
      </c>
      <c r="F203" s="90"/>
    </row>
    <row r="204" spans="1:6" x14ac:dyDescent="0.2">
      <c r="A204" s="89"/>
      <c r="B204" s="90"/>
      <c r="C204" s="90"/>
      <c r="D204" s="90"/>
      <c r="E204" s="90"/>
      <c r="F204" s="90"/>
    </row>
    <row r="205" spans="1:6" ht="25.5" x14ac:dyDescent="0.2">
      <c r="A205" s="90"/>
      <c r="B205" s="88" t="s">
        <v>266</v>
      </c>
      <c r="C205" s="88" t="s">
        <v>607</v>
      </c>
      <c r="D205" s="88" t="s">
        <v>605</v>
      </c>
      <c r="E205" s="88" t="s">
        <v>606</v>
      </c>
      <c r="F205" s="90"/>
    </row>
    <row r="206" spans="1:6" x14ac:dyDescent="0.2">
      <c r="A206" s="90"/>
      <c r="B206" s="90"/>
      <c r="C206" s="90"/>
      <c r="D206" s="90"/>
      <c r="E206" s="90"/>
      <c r="F206" s="90"/>
    </row>
    <row r="207" spans="1:6" x14ac:dyDescent="0.2">
      <c r="A207" s="90"/>
      <c r="B207" s="88" t="s">
        <v>267</v>
      </c>
      <c r="C207" s="94" t="s">
        <v>618</v>
      </c>
      <c r="D207" s="94" t="s">
        <v>619</v>
      </c>
      <c r="E207" s="94" t="s">
        <v>620</v>
      </c>
      <c r="F207" s="90"/>
    </row>
    <row r="208" spans="1:6" ht="13.5" thickBot="1" x14ac:dyDescent="0.25">
      <c r="A208" s="105"/>
      <c r="B208" s="105"/>
      <c r="C208" s="105"/>
      <c r="D208" s="105"/>
      <c r="E208" s="105"/>
      <c r="F208" s="90"/>
    </row>
    <row r="209" spans="1:6" ht="12.75" customHeight="1" x14ac:dyDescent="0.2">
      <c r="A209" s="89"/>
      <c r="B209" s="92"/>
      <c r="C209" s="92"/>
      <c r="D209" s="90"/>
      <c r="E209" s="90"/>
      <c r="F209" s="90"/>
    </row>
    <row r="210" spans="1:6" ht="12.75" customHeight="1" x14ac:dyDescent="0.2">
      <c r="A210" s="89" t="s">
        <v>268</v>
      </c>
      <c r="B210" s="112" t="s">
        <v>269</v>
      </c>
      <c r="C210" s="112" t="str">
        <f>"Hotel- und Kurbetriebe: Logiernächte im Oktober "&amp;$C$3&amp;", nach Destinationen"</f>
        <v>Hotel- und Kurbetriebe: Logiernächte im Oktober 2025, nach Destinationen</v>
      </c>
      <c r="D210" s="112" t="str">
        <f>"Manaschis d' hotel e da cura: pernottaziuns il oktober "&amp;$C$3&amp;", tenor destinaziuns"</f>
        <v>Manaschis d' hotel e da cura: pernottaziuns il oktober 2025, tenor destinaziuns</v>
      </c>
      <c r="E210" s="112" t="str">
        <f>"Alberghi e stabilimenti di cura: pernottamenti nel mese di ottobre "&amp;$C$3&amp;", per destinazione"</f>
        <v>Alberghi e stabilimenti di cura: pernottamenti nel mese di ottobre 2025, per destinazione</v>
      </c>
      <c r="F210" s="90"/>
    </row>
    <row r="211" spans="1:6" ht="12.75" customHeight="1" x14ac:dyDescent="0.2">
      <c r="A211" s="89"/>
      <c r="B211" s="112" t="s">
        <v>270</v>
      </c>
      <c r="C211" s="112" t="str">
        <f>"Hotel- und Kurbetriebe: Logiernächte im Oktober "&amp;$C$3&amp;", nach Herkunft"</f>
        <v>Hotel- und Kurbetriebe: Logiernächte im Oktober 2025, nach Herkunft</v>
      </c>
      <c r="D211" s="112" t="str">
        <f>"Manaschis d' hotel e da cura: pernottaziuns il oktober "&amp;$C$3&amp;", tenor la derivanza"</f>
        <v>Manaschis d' hotel e da cura: pernottaziuns il oktober 2025, tenor la derivanza</v>
      </c>
      <c r="E211" s="112" t="str">
        <f>"Alberghi e stabilimenti di cura: pernottamenti nel mese di ottobre "&amp;$C$3&amp;", per provenienza"</f>
        <v>Alberghi e stabilimenti di cura: pernottamenti nel mese di ottobre 2025, per provenienza</v>
      </c>
      <c r="F211" s="90"/>
    </row>
    <row r="212" spans="1:6" ht="12.75" customHeight="1" x14ac:dyDescent="0.2">
      <c r="A212" s="89"/>
      <c r="B212" s="112" t="s">
        <v>271</v>
      </c>
      <c r="C212" s="112" t="str">
        <f>"Hotel- und Kurbetriebe: Logiernächte im Oktober "&amp;$C$3&amp;", nach Schweizer Tourismusregionen"</f>
        <v>Hotel- und Kurbetriebe: Logiernächte im Oktober 2025, nach Schweizer Tourismusregionen</v>
      </c>
      <c r="D212" s="112" t="str">
        <f>"Manaschis d' hotel e da cura: pernottaziuns il oktober "&amp;$C$3&amp;", tenor regiuns turisticas svizras"</f>
        <v>Manaschis d' hotel e da cura: pernottaziuns il oktober 2025, tenor regiuns turisticas svizras</v>
      </c>
      <c r="E212" s="112" t="str">
        <f>"Alberghi e stabilimenti di cura: pernottamenti nel mese di ottobre "&amp;$C$3&amp;", per regioni turistiche svizzere"</f>
        <v>Alberghi e stabilimenti di cura: pernottamenti nel mese di ottobre 2025, per regioni turistiche svizzere</v>
      </c>
      <c r="F212" s="90"/>
    </row>
    <row r="213" spans="1:6" ht="12.75" customHeight="1" x14ac:dyDescent="0.2">
      <c r="A213" s="89"/>
      <c r="B213" s="89"/>
      <c r="C213" s="89"/>
      <c r="D213" s="89"/>
      <c r="E213" s="89"/>
      <c r="F213" s="90"/>
    </row>
    <row r="214" spans="1:6" ht="12.75" customHeight="1" x14ac:dyDescent="0.2">
      <c r="A214" s="89"/>
      <c r="B214" s="112" t="s">
        <v>272</v>
      </c>
      <c r="C214" s="112" t="str">
        <f>"Oktober "&amp;$C$3</f>
        <v>Oktober 2025</v>
      </c>
      <c r="D214" s="112" t="str">
        <f>"Oktober "&amp;$C$3</f>
        <v>Oktober 2025</v>
      </c>
      <c r="E214" s="112" t="str">
        <f>"Ottobre "&amp;$C$3</f>
        <v>Ottobre 2025</v>
      </c>
      <c r="F214" s="90"/>
    </row>
    <row r="215" spans="1:6" ht="12.75" customHeight="1" x14ac:dyDescent="0.2">
      <c r="A215" s="89"/>
      <c r="B215" s="112" t="s">
        <v>273</v>
      </c>
      <c r="C215" s="112" t="str">
        <f>"Oktober "&amp;$C$3-1</f>
        <v>Oktober 2024</v>
      </c>
      <c r="D215" s="112" t="str">
        <f>"Oktober "&amp;$C$3-1</f>
        <v>Oktober 2024</v>
      </c>
      <c r="E215" s="112" t="str">
        <f>"Ottobre "&amp;$C$3-1</f>
        <v>Ottobre 2024</v>
      </c>
      <c r="F215" s="90"/>
    </row>
    <row r="216" spans="1:6" ht="12.75" customHeight="1" x14ac:dyDescent="0.2">
      <c r="A216" s="89"/>
      <c r="B216" s="112" t="s">
        <v>274</v>
      </c>
      <c r="C216" s="112" t="str">
        <f>"Januar-Oktober "&amp;$D$3</f>
        <v>Januar-Oktober 25</v>
      </c>
      <c r="D216" s="112" t="str">
        <f>"Schaner-oktober "&amp;$D$3</f>
        <v>Schaner-oktober 25</v>
      </c>
      <c r="E216" s="112" t="str">
        <f>"Gennaio-ottobre "&amp;$D$3</f>
        <v>Gennaio-ottobre 25</v>
      </c>
      <c r="F216" s="90"/>
    </row>
    <row r="217" spans="1:6" ht="25.5" x14ac:dyDescent="0.2">
      <c r="A217" s="89"/>
      <c r="B217" s="112" t="s">
        <v>275</v>
      </c>
      <c r="C217" s="112" t="str">
        <f>"Januar-Oktober "&amp;$D$3-1</f>
        <v>Januar-Oktober 24</v>
      </c>
      <c r="D217" s="112" t="str">
        <f>"Schaner-oktober "&amp;$D$3-1</f>
        <v>Schaner-oktober 24</v>
      </c>
      <c r="E217" s="112" t="str">
        <f>"Gennaio-ottobre "&amp;$D$3-1</f>
        <v>Gennaio-ottobre 24</v>
      </c>
      <c r="F217" s="90"/>
    </row>
    <row r="218" spans="1:6" x14ac:dyDescent="0.2">
      <c r="A218" s="89"/>
      <c r="B218" s="90"/>
      <c r="C218" s="90"/>
      <c r="D218" s="90"/>
      <c r="E218" s="90"/>
      <c r="F218" s="90"/>
    </row>
    <row r="219" spans="1:6" ht="25.5" x14ac:dyDescent="0.2">
      <c r="A219" s="90"/>
      <c r="B219" s="88" t="s">
        <v>276</v>
      </c>
      <c r="C219" s="88" t="s">
        <v>608</v>
      </c>
      <c r="D219" s="88" t="s">
        <v>609</v>
      </c>
      <c r="E219" s="88" t="s">
        <v>610</v>
      </c>
      <c r="F219" s="90"/>
    </row>
    <row r="220" spans="1:6" x14ac:dyDescent="0.2">
      <c r="A220" s="90"/>
      <c r="B220" s="90"/>
      <c r="C220" s="90"/>
      <c r="D220" s="90"/>
      <c r="E220" s="90"/>
      <c r="F220" s="90"/>
    </row>
    <row r="221" spans="1:6" ht="25.5" x14ac:dyDescent="0.2">
      <c r="A221" s="90"/>
      <c r="B221" s="88" t="s">
        <v>277</v>
      </c>
      <c r="C221" s="94" t="s">
        <v>618</v>
      </c>
      <c r="D221" s="94" t="s">
        <v>619</v>
      </c>
      <c r="E221" s="94" t="s">
        <v>620</v>
      </c>
      <c r="F221" s="90"/>
    </row>
    <row r="222" spans="1:6" ht="12.75" customHeight="1" thickBot="1" x14ac:dyDescent="0.25">
      <c r="A222" s="105"/>
      <c r="B222" s="105"/>
      <c r="C222" s="105"/>
      <c r="D222" s="105"/>
      <c r="E222" s="105"/>
      <c r="F222" s="90"/>
    </row>
    <row r="223" spans="1:6" ht="12.75" customHeight="1" x14ac:dyDescent="0.2">
      <c r="A223" s="89"/>
      <c r="B223" s="92"/>
      <c r="C223" s="92"/>
      <c r="D223" s="90"/>
      <c r="E223" s="90"/>
      <c r="F223" s="90"/>
    </row>
    <row r="224" spans="1:6" ht="12.75" customHeight="1" x14ac:dyDescent="0.2">
      <c r="A224" s="89" t="s">
        <v>278</v>
      </c>
      <c r="B224" s="112" t="s">
        <v>279</v>
      </c>
      <c r="C224" s="112" t="str">
        <f>"Hotel- und Kurbetriebe: Logiernächte im November "&amp;$C$3&amp;", nach Destinationen"</f>
        <v>Hotel- und Kurbetriebe: Logiernächte im November 2025, nach Destinationen</v>
      </c>
      <c r="D224" s="112" t="str">
        <f>"Manaschis d' hotel e da cura: pernottaziuns il november "&amp;$C$3&amp;", tenor destinaziuns"</f>
        <v>Manaschis d' hotel e da cura: pernottaziuns il november 2025, tenor destinaziuns</v>
      </c>
      <c r="E224" s="112" t="str">
        <f>"Alberghi e stabilimenti di cura: pernottamenti nel mese di novembre "&amp;$C$3&amp;", per destinazione"</f>
        <v>Alberghi e stabilimenti di cura: pernottamenti nel mese di novembre 2025, per destinazione</v>
      </c>
      <c r="F224" s="90"/>
    </row>
    <row r="225" spans="1:6" ht="12.75" customHeight="1" x14ac:dyDescent="0.2">
      <c r="A225" s="89"/>
      <c r="B225" s="112" t="s">
        <v>280</v>
      </c>
      <c r="C225" s="112" t="str">
        <f>"Hotel- und Kurbetriebe: Logiernächte im November "&amp;$C$3&amp;", nach Herkunft"</f>
        <v>Hotel- und Kurbetriebe: Logiernächte im November 2025, nach Herkunft</v>
      </c>
      <c r="D225" s="112" t="str">
        <f>"Manaschis d' hotel e da cura: pernottaziuns il november "&amp;$C$3&amp;", tenor la derivanza"</f>
        <v>Manaschis d' hotel e da cura: pernottaziuns il november 2025, tenor la derivanza</v>
      </c>
      <c r="E225" s="112" t="str">
        <f>"Alberghi e stabilimenti di cura: pernottamenti nel mese di novembre "&amp;$C$3&amp;", per provenienza"</f>
        <v>Alberghi e stabilimenti di cura: pernottamenti nel mese di novembre 2025, per provenienza</v>
      </c>
      <c r="F225" s="90"/>
    </row>
    <row r="226" spans="1:6" ht="12.75" customHeight="1" x14ac:dyDescent="0.2">
      <c r="A226" s="89"/>
      <c r="B226" s="112" t="s">
        <v>281</v>
      </c>
      <c r="C226" s="112" t="str">
        <f>"Hotel- und Kurbetriebe: Logiernächte im November "&amp;$C$3&amp;", nach Schweizer Tourismusregionen"</f>
        <v>Hotel- und Kurbetriebe: Logiernächte im November 2025, nach Schweizer Tourismusregionen</v>
      </c>
      <c r="D226" s="112" t="str">
        <f>"Manaschis d' hotel e da cura: pernottaziuns il november "&amp;$C$3&amp;", tenor regiuns turisticas svizras"</f>
        <v>Manaschis d' hotel e da cura: pernottaziuns il november 2025, tenor regiuns turisticas svizras</v>
      </c>
      <c r="E226" s="112" t="str">
        <f>"Alberghi e stabilimenti di cura: pernottamenti nel mese di novembre "&amp;$C$3&amp;", per regioni turistiche svizzere"</f>
        <v>Alberghi e stabilimenti di cura: pernottamenti nel mese di novembre 2025, per regioni turistiche svizzere</v>
      </c>
      <c r="F226" s="90"/>
    </row>
    <row r="227" spans="1:6" ht="12.75" customHeight="1" x14ac:dyDescent="0.2">
      <c r="A227" s="89"/>
      <c r="B227" s="89"/>
      <c r="C227" s="89"/>
      <c r="D227" s="89"/>
      <c r="E227" s="89"/>
      <c r="F227" s="90"/>
    </row>
    <row r="228" spans="1:6" ht="12.75" customHeight="1" x14ac:dyDescent="0.2">
      <c r="A228" s="89"/>
      <c r="B228" s="112" t="s">
        <v>282</v>
      </c>
      <c r="C228" s="112" t="str">
        <f>"November "&amp;$C$3</f>
        <v>November 2025</v>
      </c>
      <c r="D228" s="112" t="str">
        <f>"November "&amp;$C$3</f>
        <v>November 2025</v>
      </c>
      <c r="E228" s="112" t="str">
        <f>"Novembre "&amp;$C$3</f>
        <v>Novembre 2025</v>
      </c>
      <c r="F228" s="90"/>
    </row>
    <row r="229" spans="1:6" ht="12.75" customHeight="1" x14ac:dyDescent="0.2">
      <c r="A229" s="89"/>
      <c r="B229" s="112" t="s">
        <v>283</v>
      </c>
      <c r="C229" s="112" t="str">
        <f>"November "&amp;$C$3-1</f>
        <v>November 2024</v>
      </c>
      <c r="D229" s="112" t="str">
        <f>"November "&amp;$C$3-1</f>
        <v>November 2024</v>
      </c>
      <c r="E229" s="112" t="str">
        <f>"Novembre "&amp;$C$3-1</f>
        <v>Novembre 2024</v>
      </c>
      <c r="F229" s="90"/>
    </row>
    <row r="230" spans="1:6" ht="12.75" customHeight="1" x14ac:dyDescent="0.2">
      <c r="A230" s="89"/>
      <c r="B230" s="112" t="s">
        <v>284</v>
      </c>
      <c r="C230" s="112" t="str">
        <f>"Januar-November "&amp;$D$3</f>
        <v>Januar-November 25</v>
      </c>
      <c r="D230" s="112" t="str">
        <f>"Schaner-november "&amp;$D$3</f>
        <v>Schaner-november 25</v>
      </c>
      <c r="E230" s="112" t="str">
        <f>"Gennaio-novembre "&amp;$D$3</f>
        <v>Gennaio-novembre 25</v>
      </c>
      <c r="F230" s="90"/>
    </row>
    <row r="231" spans="1:6" ht="25.5" x14ac:dyDescent="0.2">
      <c r="A231" s="89"/>
      <c r="B231" s="112" t="s">
        <v>285</v>
      </c>
      <c r="C231" s="112" t="str">
        <f>"Januar-November "&amp;$D$3-1</f>
        <v>Januar-November 24</v>
      </c>
      <c r="D231" s="112" t="str">
        <f>"Schaner-november "&amp;$D$3-1</f>
        <v>Schaner-november 24</v>
      </c>
      <c r="E231" s="112" t="str">
        <f>"Gennaio-novembre "&amp;$D$3-1</f>
        <v>Gennaio-novembre 24</v>
      </c>
      <c r="F231" s="90"/>
    </row>
    <row r="232" spans="1:6" x14ac:dyDescent="0.2">
      <c r="A232" s="89"/>
      <c r="B232" s="90"/>
      <c r="C232" s="90"/>
      <c r="D232" s="90"/>
      <c r="E232" s="90"/>
      <c r="F232" s="90"/>
    </row>
    <row r="233" spans="1:6" ht="25.5" x14ac:dyDescent="0.2">
      <c r="A233" s="90"/>
      <c r="B233" s="88" t="s">
        <v>286</v>
      </c>
      <c r="C233" s="88" t="s">
        <v>612</v>
      </c>
      <c r="D233" s="88" t="s">
        <v>613</v>
      </c>
      <c r="E233" s="88" t="s">
        <v>614</v>
      </c>
      <c r="F233" s="90"/>
    </row>
    <row r="234" spans="1:6" x14ac:dyDescent="0.2">
      <c r="A234" s="90"/>
      <c r="B234" s="90"/>
      <c r="C234" s="90"/>
      <c r="D234" s="90"/>
      <c r="E234" s="90"/>
      <c r="F234" s="90"/>
    </row>
    <row r="235" spans="1:6" ht="25.5" x14ac:dyDescent="0.2">
      <c r="A235" s="90"/>
      <c r="B235" s="88" t="s">
        <v>287</v>
      </c>
      <c r="C235" s="94" t="s">
        <v>618</v>
      </c>
      <c r="D235" s="94" t="s">
        <v>619</v>
      </c>
      <c r="E235" s="94" t="s">
        <v>620</v>
      </c>
      <c r="F235" s="90"/>
    </row>
    <row r="236" spans="1:6" ht="12.75" customHeight="1" thickBot="1" x14ac:dyDescent="0.25">
      <c r="A236" s="105"/>
      <c r="B236" s="105"/>
      <c r="C236" s="105"/>
      <c r="D236" s="105"/>
      <c r="E236" s="105"/>
      <c r="F236" s="90"/>
    </row>
    <row r="237" spans="1:6" ht="12.75" customHeight="1" x14ac:dyDescent="0.2">
      <c r="A237" s="89"/>
      <c r="B237" s="92"/>
      <c r="C237" s="92"/>
      <c r="D237" s="90"/>
      <c r="E237" s="90"/>
      <c r="F237" s="90"/>
    </row>
    <row r="238" spans="1:6" ht="12.75" customHeight="1" x14ac:dyDescent="0.2">
      <c r="A238" s="89" t="s">
        <v>297</v>
      </c>
      <c r="B238" s="112" t="s">
        <v>288</v>
      </c>
      <c r="C238" s="112" t="str">
        <f>"Hotel- und Kurbetriebe: Logiernächte im Dezember "&amp;$C$3&amp;", nach Destinationen"</f>
        <v>Hotel- und Kurbetriebe: Logiernächte im Dezember 2025, nach Destinationen</v>
      </c>
      <c r="D238" s="112" t="str">
        <f>"Manaschis d' hotel e da cura: pernottaziuns il dezember "&amp;$C$3&amp;", tenor destinaziuns"</f>
        <v>Manaschis d' hotel e da cura: pernottaziuns il dezember 2025, tenor destinaziuns</v>
      </c>
      <c r="E238" s="112" t="str">
        <f>"Alberghi e stabilimenti di cura: pernottamenti nel mese di dicembre "&amp;$C$3&amp;", per destinazione"</f>
        <v>Alberghi e stabilimenti di cura: pernottamenti nel mese di dicembre 2025, per destinazione</v>
      </c>
      <c r="F238" s="90"/>
    </row>
    <row r="239" spans="1:6" ht="12.75" customHeight="1" x14ac:dyDescent="0.2">
      <c r="A239" s="89"/>
      <c r="B239" s="112" t="s">
        <v>289</v>
      </c>
      <c r="C239" s="112" t="str">
        <f>"Hotel- und Kurbetriebe: Logiernächte im Dezember "&amp;$C$3&amp;", nach Herkunft"</f>
        <v>Hotel- und Kurbetriebe: Logiernächte im Dezember 2025, nach Herkunft</v>
      </c>
      <c r="D239" s="112" t="str">
        <f>"Manaschis d' hotel e da cura: pernottaziuns il dezember "&amp;$C$3&amp;", tenor la derivanza"</f>
        <v>Manaschis d' hotel e da cura: pernottaziuns il dezember 2025, tenor la derivanza</v>
      </c>
      <c r="E239" s="112" t="str">
        <f>"Alberghi e stabilimenti di cura: pernottamenti nel mese di dicembre "&amp;$C$3&amp;", per provenienza"</f>
        <v>Alberghi e stabilimenti di cura: pernottamenti nel mese di dicembre 2025, per provenienza</v>
      </c>
      <c r="F239" s="90"/>
    </row>
    <row r="240" spans="1:6" ht="12.75" customHeight="1" x14ac:dyDescent="0.2">
      <c r="A240" s="89"/>
      <c r="B240" s="112" t="s">
        <v>290</v>
      </c>
      <c r="C240" s="112" t="str">
        <f>"Hotel- und Kurbetriebe: Logiernächte im Dezember "&amp;$C$3&amp;", nach Schweizer Tourismusregionen"</f>
        <v>Hotel- und Kurbetriebe: Logiernächte im Dezember 2025, nach Schweizer Tourismusregionen</v>
      </c>
      <c r="D240" s="112" t="str">
        <f>"Manaschis d' hotel e da cura: pernottaziuns il dezember "&amp;$C$3&amp;", tenor regiuns turisticas svizras"</f>
        <v>Manaschis d' hotel e da cura: pernottaziuns il dezember 2025, tenor regiuns turisticas svizras</v>
      </c>
      <c r="E240" s="112" t="str">
        <f>"Alberghi e stabilimenti di cura: pernottamenti nel mese di dicembre "&amp;$C$3&amp;", per regioni turistiche svizzere"</f>
        <v>Alberghi e stabilimenti di cura: pernottamenti nel mese di dicembre 2025, per regioni turistiche svizzere</v>
      </c>
      <c r="F240" s="90"/>
    </row>
    <row r="241" spans="1:6" ht="12.75" customHeight="1" x14ac:dyDescent="0.2">
      <c r="A241" s="89"/>
      <c r="B241" s="89"/>
      <c r="C241" s="89"/>
      <c r="D241" s="89"/>
      <c r="E241" s="89"/>
      <c r="F241" s="90"/>
    </row>
    <row r="242" spans="1:6" ht="12.75" customHeight="1" x14ac:dyDescent="0.2">
      <c r="A242" s="89"/>
      <c r="B242" s="112" t="s">
        <v>291</v>
      </c>
      <c r="C242" s="112" t="str">
        <f>"Dezember "&amp;$C$3</f>
        <v>Dezember 2025</v>
      </c>
      <c r="D242" s="112" t="str">
        <f>"Dezember "&amp;$C$3</f>
        <v>Dezember 2025</v>
      </c>
      <c r="E242" s="112" t="str">
        <f>"Dicembre "&amp;$C$3</f>
        <v>Dicembre 2025</v>
      </c>
      <c r="F242" s="90"/>
    </row>
    <row r="243" spans="1:6" ht="12.75" customHeight="1" x14ac:dyDescent="0.2">
      <c r="A243" s="89"/>
      <c r="B243" s="112" t="s">
        <v>292</v>
      </c>
      <c r="C243" s="112" t="str">
        <f>"Dezember "&amp;$C$3-1</f>
        <v>Dezember 2024</v>
      </c>
      <c r="D243" s="112" t="str">
        <f>"Dezember "&amp;$C$3-1</f>
        <v>Dezember 2024</v>
      </c>
      <c r="E243" s="112" t="str">
        <f>"Dicembre "&amp;$C$3-1</f>
        <v>Dicembre 2024</v>
      </c>
      <c r="F243" s="90"/>
    </row>
    <row r="244" spans="1:6" ht="12.75" customHeight="1" x14ac:dyDescent="0.2">
      <c r="A244" s="89"/>
      <c r="B244" s="112" t="s">
        <v>293</v>
      </c>
      <c r="C244" s="112" t="str">
        <f>"Januar-Dezember "&amp;$D$3</f>
        <v>Januar-Dezember 25</v>
      </c>
      <c r="D244" s="112" t="str">
        <f>"Schaner-dezember "&amp;$D$3</f>
        <v>Schaner-dezember 25</v>
      </c>
      <c r="E244" s="112" t="str">
        <f>"Gennaio-dicembre "&amp;$D$3</f>
        <v>Gennaio-dicembre 25</v>
      </c>
      <c r="F244" s="90"/>
    </row>
    <row r="245" spans="1:6" ht="25.5" x14ac:dyDescent="0.2">
      <c r="A245" s="89"/>
      <c r="B245" s="112" t="s">
        <v>294</v>
      </c>
      <c r="C245" s="112" t="str">
        <f>"Januar-Dezember "&amp;$D$3-1</f>
        <v>Januar-Dezember 24</v>
      </c>
      <c r="D245" s="112" t="str">
        <f>"Schaner-dezember "&amp;$D$3-1</f>
        <v>Schaner-dezember 24</v>
      </c>
      <c r="E245" s="112" t="str">
        <f>"Gennaio-dicembre "&amp;$D$3-1</f>
        <v>Gennaio-dicembre 24</v>
      </c>
      <c r="F245" s="90"/>
    </row>
    <row r="246" spans="1:6" x14ac:dyDescent="0.2">
      <c r="A246" s="89"/>
      <c r="B246" s="90"/>
      <c r="C246" s="90"/>
      <c r="D246" s="90"/>
      <c r="E246" s="90"/>
      <c r="F246" s="90"/>
    </row>
    <row r="247" spans="1:6" ht="25.5" x14ac:dyDescent="0.2">
      <c r="A247" s="90"/>
      <c r="B247" s="88" t="s">
        <v>295</v>
      </c>
      <c r="C247" s="88" t="s">
        <v>615</v>
      </c>
      <c r="D247" s="88" t="s">
        <v>616</v>
      </c>
      <c r="E247" s="88" t="s">
        <v>617</v>
      </c>
      <c r="F247" s="90"/>
    </row>
    <row r="248" spans="1:6" x14ac:dyDescent="0.2">
      <c r="A248" s="90"/>
      <c r="B248" s="90"/>
      <c r="C248" s="90"/>
      <c r="D248" s="90"/>
      <c r="E248" s="90"/>
      <c r="F248" s="90"/>
    </row>
    <row r="249" spans="1:6" ht="25.5" x14ac:dyDescent="0.2">
      <c r="A249" s="90"/>
      <c r="B249" s="88" t="s">
        <v>296</v>
      </c>
      <c r="C249" s="94" t="s">
        <v>618</v>
      </c>
      <c r="D249" s="94" t="s">
        <v>619</v>
      </c>
      <c r="E249" s="94" t="s">
        <v>620</v>
      </c>
      <c r="F249" s="90"/>
    </row>
    <row r="250" spans="1:6" x14ac:dyDescent="0.2">
      <c r="A250" s="90"/>
      <c r="B250" s="90"/>
      <c r="C250" s="90"/>
      <c r="D250" s="90"/>
      <c r="E250" s="90"/>
      <c r="F250" s="90"/>
    </row>
    <row r="251" spans="1:6" x14ac:dyDescent="0.2">
      <c r="A251" s="89"/>
      <c r="B251" s="92"/>
      <c r="C251" s="92"/>
      <c r="D251" s="90"/>
      <c r="E251" s="90"/>
      <c r="F251" s="90"/>
    </row>
    <row r="252" spans="1:6" ht="12.75" customHeight="1" x14ac:dyDescent="0.2">
      <c r="A252" s="89"/>
      <c r="B252" s="92"/>
      <c r="C252" s="92"/>
      <c r="D252" s="90"/>
      <c r="E252" s="90"/>
      <c r="F252" s="90"/>
    </row>
    <row r="253" spans="1:6" ht="12.75" customHeight="1" x14ac:dyDescent="0.2">
      <c r="A253" s="89" t="s">
        <v>366</v>
      </c>
      <c r="B253" s="112" t="s">
        <v>367</v>
      </c>
      <c r="C253" s="70" t="s">
        <v>363</v>
      </c>
      <c r="D253" s="70" t="s">
        <v>365</v>
      </c>
      <c r="E253" s="93" t="s">
        <v>364</v>
      </c>
      <c r="F253" s="90"/>
    </row>
    <row r="254" spans="1:6" ht="12.75" customHeight="1" x14ac:dyDescent="0.2">
      <c r="A254" s="89"/>
      <c r="B254" s="112" t="s">
        <v>368</v>
      </c>
      <c r="C254" s="112"/>
      <c r="D254" s="112"/>
      <c r="E254" s="112"/>
      <c r="F254" s="90"/>
    </row>
    <row r="255" spans="1:6" ht="12.75" customHeight="1" x14ac:dyDescent="0.2">
      <c r="A255" s="89"/>
      <c r="B255" s="112" t="s">
        <v>369</v>
      </c>
      <c r="C255" s="112"/>
      <c r="D255" s="112"/>
      <c r="E255" s="112"/>
      <c r="F255" s="90"/>
    </row>
    <row r="256" spans="1:6" ht="12.75" customHeight="1" x14ac:dyDescent="0.2">
      <c r="A256" s="89"/>
      <c r="B256" s="89"/>
      <c r="C256" s="89"/>
      <c r="D256" s="89"/>
      <c r="E256" s="89"/>
      <c r="F256" s="90"/>
    </row>
    <row r="257" spans="1:6" ht="12.75" customHeight="1" x14ac:dyDescent="0.2">
      <c r="A257" s="89"/>
      <c r="B257" s="112" t="s">
        <v>370</v>
      </c>
      <c r="C257" s="112" t="s">
        <v>377</v>
      </c>
      <c r="D257" s="112" t="s">
        <v>378</v>
      </c>
      <c r="E257" s="112" t="s">
        <v>379</v>
      </c>
      <c r="F257" s="90"/>
    </row>
    <row r="258" spans="1:6" ht="12.75" customHeight="1" x14ac:dyDescent="0.2">
      <c r="A258" s="89"/>
      <c r="B258" s="112" t="s">
        <v>371</v>
      </c>
      <c r="C258" s="112" t="s">
        <v>374</v>
      </c>
      <c r="D258" s="112" t="s">
        <v>375</v>
      </c>
      <c r="E258" s="112" t="s">
        <v>376</v>
      </c>
      <c r="F258" s="90"/>
    </row>
    <row r="259" spans="1:6" ht="12.75" customHeight="1" x14ac:dyDescent="0.2">
      <c r="A259" s="89"/>
      <c r="B259" s="112" t="s">
        <v>372</v>
      </c>
      <c r="C259" s="112"/>
      <c r="D259" s="112"/>
      <c r="E259" s="112"/>
      <c r="F259" s="90"/>
    </row>
    <row r="260" spans="1:6" ht="25.5" x14ac:dyDescent="0.2">
      <c r="A260" s="89"/>
      <c r="B260" s="112" t="s">
        <v>373</v>
      </c>
      <c r="C260" s="112"/>
      <c r="D260" s="112"/>
      <c r="E260" s="112"/>
      <c r="F260" s="90"/>
    </row>
    <row r="261" spans="1:6" x14ac:dyDescent="0.2">
      <c r="A261" s="89"/>
      <c r="B261" s="90"/>
      <c r="C261" s="90"/>
      <c r="D261" s="90"/>
      <c r="E261" s="90"/>
      <c r="F261" s="90"/>
    </row>
    <row r="262" spans="1:6" x14ac:dyDescent="0.2">
      <c r="A262" s="89" t="s">
        <v>57</v>
      </c>
      <c r="B262" s="70" t="s">
        <v>380</v>
      </c>
      <c r="C262" s="70" t="s">
        <v>383</v>
      </c>
      <c r="D262" s="70" t="s">
        <v>485</v>
      </c>
      <c r="E262" s="70" t="s">
        <v>441</v>
      </c>
      <c r="F262" s="90"/>
    </row>
    <row r="263" spans="1:6" x14ac:dyDescent="0.2">
      <c r="A263" s="90"/>
      <c r="B263" s="70" t="s">
        <v>381</v>
      </c>
      <c r="C263" s="70" t="s">
        <v>384</v>
      </c>
      <c r="D263" s="70" t="s">
        <v>442</v>
      </c>
      <c r="E263" s="70" t="s">
        <v>442</v>
      </c>
      <c r="F263" s="90"/>
    </row>
    <row r="264" spans="1:6" x14ac:dyDescent="0.2">
      <c r="A264" s="90"/>
      <c r="B264" s="70" t="s">
        <v>382</v>
      </c>
      <c r="C264" s="70" t="s">
        <v>304</v>
      </c>
      <c r="D264" s="70" t="s">
        <v>321</v>
      </c>
      <c r="E264" s="70" t="s">
        <v>321</v>
      </c>
      <c r="F264" s="90"/>
    </row>
    <row r="265" spans="1:6" x14ac:dyDescent="0.2">
      <c r="A265" s="90"/>
      <c r="B265" s="70" t="s">
        <v>439</v>
      </c>
      <c r="C265" s="70" t="s">
        <v>385</v>
      </c>
      <c r="D265" s="70" t="s">
        <v>385</v>
      </c>
      <c r="E265" s="70" t="s">
        <v>443</v>
      </c>
      <c r="F265" s="90"/>
    </row>
    <row r="266" spans="1:6" x14ac:dyDescent="0.2">
      <c r="A266" s="90"/>
      <c r="B266" s="70" t="s">
        <v>440</v>
      </c>
      <c r="C266" s="70" t="s">
        <v>386</v>
      </c>
      <c r="D266" s="70" t="s">
        <v>444</v>
      </c>
      <c r="E266" s="70" t="s">
        <v>444</v>
      </c>
      <c r="F266" s="90"/>
    </row>
    <row r="267" spans="1:6" x14ac:dyDescent="0.2">
      <c r="A267" s="90"/>
      <c r="B267" s="70" t="s">
        <v>507</v>
      </c>
      <c r="C267" s="70" t="s">
        <v>17</v>
      </c>
      <c r="D267" s="70" t="s">
        <v>142</v>
      </c>
      <c r="E267" s="70" t="s">
        <v>153</v>
      </c>
      <c r="F267" s="90"/>
    </row>
    <row r="268" spans="1:6" x14ac:dyDescent="0.2">
      <c r="A268" s="90"/>
      <c r="B268" s="70" t="s">
        <v>508</v>
      </c>
      <c r="C268" s="70" t="s">
        <v>22</v>
      </c>
      <c r="D268" s="70" t="s">
        <v>148</v>
      </c>
      <c r="E268" s="70" t="s">
        <v>158</v>
      </c>
      <c r="F268" s="90"/>
    </row>
    <row r="269" spans="1:6" x14ac:dyDescent="0.2">
      <c r="A269" s="90"/>
      <c r="B269" s="70" t="s">
        <v>509</v>
      </c>
      <c r="C269" s="70" t="s">
        <v>387</v>
      </c>
      <c r="D269" s="70" t="s">
        <v>445</v>
      </c>
      <c r="E269" s="70" t="s">
        <v>445</v>
      </c>
      <c r="F269" s="90"/>
    </row>
    <row r="270" spans="1:6" x14ac:dyDescent="0.2">
      <c r="A270" s="90"/>
      <c r="B270" s="70" t="s">
        <v>510</v>
      </c>
      <c r="C270" s="70" t="s">
        <v>388</v>
      </c>
      <c r="D270" s="70" t="s">
        <v>388</v>
      </c>
      <c r="E270" s="70" t="s">
        <v>446</v>
      </c>
      <c r="F270" s="90"/>
    </row>
    <row r="271" spans="1:6" x14ac:dyDescent="0.2">
      <c r="A271" s="90"/>
      <c r="B271" s="70" t="s">
        <v>511</v>
      </c>
      <c r="C271" s="70" t="s">
        <v>307</v>
      </c>
      <c r="D271" s="70" t="s">
        <v>307</v>
      </c>
      <c r="E271" s="70" t="s">
        <v>324</v>
      </c>
      <c r="F271" s="90"/>
    </row>
    <row r="272" spans="1:6" x14ac:dyDescent="0.2">
      <c r="A272" s="90"/>
      <c r="B272" s="70" t="s">
        <v>512</v>
      </c>
      <c r="C272" s="70" t="s">
        <v>349</v>
      </c>
      <c r="D272" s="70" t="s">
        <v>355</v>
      </c>
      <c r="E272" s="70" t="s">
        <v>359</v>
      </c>
      <c r="F272" s="90"/>
    </row>
    <row r="273" spans="1:6" x14ac:dyDescent="0.2">
      <c r="A273" s="90"/>
      <c r="B273" s="70" t="s">
        <v>513</v>
      </c>
      <c r="C273" s="70" t="s">
        <v>14</v>
      </c>
      <c r="D273" s="70" t="s">
        <v>137</v>
      </c>
      <c r="E273" s="70" t="s">
        <v>137</v>
      </c>
      <c r="F273" s="90"/>
    </row>
    <row r="274" spans="1:6" x14ac:dyDescent="0.2">
      <c r="A274" s="90"/>
      <c r="B274" s="70" t="s">
        <v>514</v>
      </c>
      <c r="C274" s="70" t="s">
        <v>389</v>
      </c>
      <c r="D274" s="70" t="s">
        <v>447</v>
      </c>
      <c r="E274" s="70" t="s">
        <v>447</v>
      </c>
      <c r="F274" s="90"/>
    </row>
    <row r="275" spans="1:6" x14ac:dyDescent="0.2">
      <c r="A275" s="90"/>
      <c r="B275" s="70" t="s">
        <v>515</v>
      </c>
      <c r="C275" s="70" t="s">
        <v>390</v>
      </c>
      <c r="D275" s="70" t="s">
        <v>486</v>
      </c>
      <c r="E275" s="70" t="s">
        <v>448</v>
      </c>
      <c r="F275" s="90"/>
    </row>
    <row r="276" spans="1:6" x14ac:dyDescent="0.2">
      <c r="A276" s="90"/>
      <c r="B276" s="70" t="s">
        <v>516</v>
      </c>
      <c r="C276" s="70" t="s">
        <v>18</v>
      </c>
      <c r="D276" s="70" t="s">
        <v>139</v>
      </c>
      <c r="E276" s="70" t="s">
        <v>151</v>
      </c>
      <c r="F276" s="90"/>
    </row>
    <row r="277" spans="1:6" x14ac:dyDescent="0.2">
      <c r="A277" s="90"/>
      <c r="B277" s="70" t="s">
        <v>517</v>
      </c>
      <c r="C277" s="70" t="s">
        <v>391</v>
      </c>
      <c r="D277" s="70" t="s">
        <v>487</v>
      </c>
      <c r="E277" s="70" t="s">
        <v>449</v>
      </c>
      <c r="F277" s="90"/>
    </row>
    <row r="278" spans="1:6" x14ac:dyDescent="0.2">
      <c r="A278" s="90"/>
      <c r="B278" s="70" t="s">
        <v>518</v>
      </c>
      <c r="C278" s="70" t="s">
        <v>392</v>
      </c>
      <c r="D278" s="70" t="s">
        <v>392</v>
      </c>
      <c r="E278" s="70" t="s">
        <v>450</v>
      </c>
      <c r="F278" s="90"/>
    </row>
    <row r="279" spans="1:6" x14ac:dyDescent="0.2">
      <c r="A279" s="90"/>
      <c r="B279" s="70" t="s">
        <v>519</v>
      </c>
      <c r="C279" s="70" t="s">
        <v>308</v>
      </c>
      <c r="D279" s="70" t="s">
        <v>451</v>
      </c>
      <c r="E279" s="70" t="s">
        <v>451</v>
      </c>
      <c r="F279" s="90"/>
    </row>
    <row r="280" spans="1:6" x14ac:dyDescent="0.2">
      <c r="A280" s="90"/>
      <c r="B280" s="70" t="s">
        <v>520</v>
      </c>
      <c r="C280" s="70" t="s">
        <v>393</v>
      </c>
      <c r="D280" s="70" t="s">
        <v>452</v>
      </c>
      <c r="E280" s="70" t="s">
        <v>452</v>
      </c>
      <c r="F280" s="90"/>
    </row>
    <row r="281" spans="1:6" x14ac:dyDescent="0.2">
      <c r="A281" s="90"/>
      <c r="B281" s="70" t="s">
        <v>522</v>
      </c>
      <c r="C281" s="70" t="s">
        <v>394</v>
      </c>
      <c r="D281" s="70" t="s">
        <v>394</v>
      </c>
      <c r="E281" s="70" t="s">
        <v>394</v>
      </c>
      <c r="F281" s="90"/>
    </row>
    <row r="282" spans="1:6" x14ac:dyDescent="0.2">
      <c r="A282" s="90"/>
      <c r="B282" s="70" t="s">
        <v>521</v>
      </c>
      <c r="C282" s="70" t="s">
        <v>395</v>
      </c>
      <c r="D282" s="70" t="s">
        <v>453</v>
      </c>
      <c r="E282" s="70" t="s">
        <v>453</v>
      </c>
      <c r="F282" s="90"/>
    </row>
    <row r="283" spans="1:6" x14ac:dyDescent="0.2">
      <c r="A283" s="90"/>
      <c r="B283" s="70" t="s">
        <v>523</v>
      </c>
      <c r="C283" s="70" t="s">
        <v>396</v>
      </c>
      <c r="D283" s="70" t="s">
        <v>454</v>
      </c>
      <c r="E283" s="70" t="s">
        <v>454</v>
      </c>
      <c r="F283" s="90"/>
    </row>
    <row r="284" spans="1:6" x14ac:dyDescent="0.2">
      <c r="A284" s="90"/>
      <c r="B284" s="70" t="s">
        <v>524</v>
      </c>
      <c r="C284" s="70" t="s">
        <v>305</v>
      </c>
      <c r="D284" s="70" t="s">
        <v>305</v>
      </c>
      <c r="E284" s="70" t="s">
        <v>322</v>
      </c>
      <c r="F284" s="90"/>
    </row>
    <row r="285" spans="1:6" x14ac:dyDescent="0.2">
      <c r="A285" s="90"/>
      <c r="B285" s="70" t="s">
        <v>525</v>
      </c>
      <c r="C285" s="70" t="s">
        <v>16</v>
      </c>
      <c r="D285" s="70" t="s">
        <v>138</v>
      </c>
      <c r="E285" s="70" t="s">
        <v>138</v>
      </c>
      <c r="F285" s="90"/>
    </row>
    <row r="286" spans="1:6" x14ac:dyDescent="0.2">
      <c r="A286" s="90"/>
      <c r="B286" s="70" t="s">
        <v>526</v>
      </c>
      <c r="C286" s="70" t="s">
        <v>20</v>
      </c>
      <c r="D286" s="70" t="s">
        <v>146</v>
      </c>
      <c r="E286" s="70" t="s">
        <v>157</v>
      </c>
      <c r="F286" s="90"/>
    </row>
    <row r="287" spans="1:6" x14ac:dyDescent="0.2">
      <c r="A287" s="90"/>
      <c r="B287" s="70" t="s">
        <v>527</v>
      </c>
      <c r="C287" s="70" t="s">
        <v>306</v>
      </c>
      <c r="D287" s="70" t="s">
        <v>323</v>
      </c>
      <c r="E287" s="70" t="s">
        <v>323</v>
      </c>
      <c r="F287" s="90"/>
    </row>
    <row r="288" spans="1:6" x14ac:dyDescent="0.2">
      <c r="A288" s="90"/>
      <c r="B288" s="70" t="s">
        <v>528</v>
      </c>
      <c r="C288" s="70" t="s">
        <v>397</v>
      </c>
      <c r="D288" s="70" t="s">
        <v>455</v>
      </c>
      <c r="E288" s="70" t="s">
        <v>455</v>
      </c>
      <c r="F288" s="90"/>
    </row>
    <row r="289" spans="1:6" x14ac:dyDescent="0.2">
      <c r="A289" s="90"/>
      <c r="B289" s="70" t="s">
        <v>529</v>
      </c>
      <c r="C289" s="70" t="s">
        <v>398</v>
      </c>
      <c r="D289" s="70" t="s">
        <v>488</v>
      </c>
      <c r="E289" s="70" t="s">
        <v>456</v>
      </c>
      <c r="F289" s="90"/>
    </row>
    <row r="290" spans="1:6" x14ac:dyDescent="0.2">
      <c r="A290" s="90"/>
      <c r="B290" s="70" t="s">
        <v>530</v>
      </c>
      <c r="C290" s="70" t="s">
        <v>399</v>
      </c>
      <c r="D290" s="70" t="s">
        <v>457</v>
      </c>
      <c r="E290" s="70" t="s">
        <v>457</v>
      </c>
      <c r="F290" s="90"/>
    </row>
    <row r="291" spans="1:6" x14ac:dyDescent="0.2">
      <c r="A291" s="90"/>
      <c r="B291" s="70" t="s">
        <v>531</v>
      </c>
      <c r="C291" s="70" t="s">
        <v>400</v>
      </c>
      <c r="D291" s="70" t="s">
        <v>400</v>
      </c>
      <c r="E291" s="70" t="s">
        <v>400</v>
      </c>
      <c r="F291" s="90"/>
    </row>
    <row r="292" spans="1:6" x14ac:dyDescent="0.2">
      <c r="A292" s="90"/>
      <c r="B292" s="70" t="s">
        <v>532</v>
      </c>
      <c r="C292" s="70" t="s">
        <v>401</v>
      </c>
      <c r="D292" s="70" t="s">
        <v>458</v>
      </c>
      <c r="E292" s="70" t="s">
        <v>458</v>
      </c>
      <c r="F292" s="90"/>
    </row>
    <row r="293" spans="1:6" x14ac:dyDescent="0.2">
      <c r="A293" s="90"/>
      <c r="B293" s="70" t="s">
        <v>533</v>
      </c>
      <c r="C293" s="70" t="s">
        <v>402</v>
      </c>
      <c r="D293" s="70" t="s">
        <v>402</v>
      </c>
      <c r="E293" s="70" t="s">
        <v>402</v>
      </c>
      <c r="F293" s="90"/>
    </row>
    <row r="294" spans="1:6" x14ac:dyDescent="0.2">
      <c r="A294" s="90"/>
      <c r="B294" s="70" t="s">
        <v>534</v>
      </c>
      <c r="C294" s="70" t="s">
        <v>403</v>
      </c>
      <c r="D294" s="70" t="s">
        <v>459</v>
      </c>
      <c r="E294" s="70" t="s">
        <v>459</v>
      </c>
      <c r="F294" s="90"/>
    </row>
    <row r="295" spans="1:6" x14ac:dyDescent="0.2">
      <c r="A295" s="90"/>
      <c r="B295" s="70" t="s">
        <v>535</v>
      </c>
      <c r="C295" s="70" t="s">
        <v>352</v>
      </c>
      <c r="D295" s="70" t="s">
        <v>352</v>
      </c>
      <c r="E295" s="70" t="s">
        <v>360</v>
      </c>
      <c r="F295" s="90"/>
    </row>
    <row r="296" spans="1:6" x14ac:dyDescent="0.2">
      <c r="A296" s="90"/>
      <c r="B296" s="70" t="s">
        <v>536</v>
      </c>
      <c r="C296" s="70" t="s">
        <v>404</v>
      </c>
      <c r="D296" s="70" t="s">
        <v>489</v>
      </c>
      <c r="E296" s="70" t="s">
        <v>404</v>
      </c>
      <c r="F296" s="90"/>
    </row>
    <row r="297" spans="1:6" x14ac:dyDescent="0.2">
      <c r="A297" s="90"/>
      <c r="B297" s="70" t="s">
        <v>537</v>
      </c>
      <c r="C297" s="70" t="s">
        <v>405</v>
      </c>
      <c r="D297" s="70" t="s">
        <v>405</v>
      </c>
      <c r="E297" s="70" t="s">
        <v>405</v>
      </c>
      <c r="F297" s="90"/>
    </row>
    <row r="298" spans="1:6" x14ac:dyDescent="0.2">
      <c r="A298" s="90"/>
      <c r="B298" s="70" t="s">
        <v>538</v>
      </c>
      <c r="C298" s="70" t="s">
        <v>406</v>
      </c>
      <c r="D298" s="70" t="s">
        <v>490</v>
      </c>
      <c r="E298" s="70" t="s">
        <v>460</v>
      </c>
      <c r="F298" s="90"/>
    </row>
    <row r="299" spans="1:6" x14ac:dyDescent="0.2">
      <c r="A299" s="90"/>
      <c r="B299" s="70" t="s">
        <v>539</v>
      </c>
      <c r="C299" s="70" t="s">
        <v>407</v>
      </c>
      <c r="D299" s="70" t="s">
        <v>491</v>
      </c>
      <c r="E299" s="70" t="s">
        <v>461</v>
      </c>
      <c r="F299" s="90"/>
    </row>
    <row r="300" spans="1:6" x14ac:dyDescent="0.2">
      <c r="A300" s="90"/>
      <c r="B300" s="70" t="s">
        <v>540</v>
      </c>
      <c r="C300" s="70" t="s">
        <v>15</v>
      </c>
      <c r="D300" s="70" t="s">
        <v>141</v>
      </c>
      <c r="E300" s="70" t="s">
        <v>152</v>
      </c>
      <c r="F300" s="90"/>
    </row>
    <row r="301" spans="1:6" x14ac:dyDescent="0.2">
      <c r="A301" s="90"/>
      <c r="B301" s="70" t="s">
        <v>541</v>
      </c>
      <c r="C301" s="70" t="s">
        <v>408</v>
      </c>
      <c r="D301" s="70" t="s">
        <v>462</v>
      </c>
      <c r="E301" s="70" t="s">
        <v>462</v>
      </c>
      <c r="F301" s="90"/>
    </row>
    <row r="302" spans="1:6" x14ac:dyDescent="0.2">
      <c r="A302" s="90"/>
      <c r="B302" s="70" t="s">
        <v>542</v>
      </c>
      <c r="C302" s="70" t="s">
        <v>409</v>
      </c>
      <c r="D302" s="70" t="s">
        <v>409</v>
      </c>
      <c r="E302" s="70" t="s">
        <v>409</v>
      </c>
      <c r="F302" s="90"/>
    </row>
    <row r="303" spans="1:6" x14ac:dyDescent="0.2">
      <c r="A303" s="90"/>
      <c r="B303" s="70" t="s">
        <v>543</v>
      </c>
      <c r="C303" s="70" t="s">
        <v>19</v>
      </c>
      <c r="D303" s="70" t="s">
        <v>140</v>
      </c>
      <c r="E303" s="70" t="s">
        <v>140</v>
      </c>
      <c r="F303" s="90"/>
    </row>
    <row r="304" spans="1:6" x14ac:dyDescent="0.2">
      <c r="A304" s="90"/>
      <c r="B304" s="70" t="s">
        <v>544</v>
      </c>
      <c r="C304" s="70" t="s">
        <v>410</v>
      </c>
      <c r="D304" s="70" t="s">
        <v>492</v>
      </c>
      <c r="E304" s="70" t="s">
        <v>463</v>
      </c>
      <c r="F304" s="90"/>
    </row>
    <row r="305" spans="1:6" x14ac:dyDescent="0.2">
      <c r="A305" s="90"/>
      <c r="B305" s="70" t="s">
        <v>546</v>
      </c>
      <c r="C305" s="70" t="s">
        <v>21</v>
      </c>
      <c r="D305" s="70" t="s">
        <v>145</v>
      </c>
      <c r="E305" s="70" t="s">
        <v>156</v>
      </c>
      <c r="F305" s="90"/>
    </row>
    <row r="306" spans="1:6" x14ac:dyDescent="0.2">
      <c r="A306" s="90"/>
      <c r="B306" s="70" t="s">
        <v>545</v>
      </c>
      <c r="C306" s="70" t="s">
        <v>411</v>
      </c>
      <c r="D306" s="70" t="s">
        <v>411</v>
      </c>
      <c r="E306" s="70" t="s">
        <v>464</v>
      </c>
      <c r="F306" s="90"/>
    </row>
    <row r="307" spans="1:6" x14ac:dyDescent="0.2">
      <c r="A307" s="90"/>
      <c r="B307" s="70" t="s">
        <v>547</v>
      </c>
      <c r="C307" s="70" t="s">
        <v>412</v>
      </c>
      <c r="D307" s="70" t="s">
        <v>493</v>
      </c>
      <c r="E307" s="70" t="s">
        <v>465</v>
      </c>
      <c r="F307" s="90"/>
    </row>
    <row r="308" spans="1:6" x14ac:dyDescent="0.2">
      <c r="A308" s="90"/>
      <c r="B308" s="70" t="s">
        <v>548</v>
      </c>
      <c r="C308" s="70" t="s">
        <v>413</v>
      </c>
      <c r="D308" s="70" t="s">
        <v>466</v>
      </c>
      <c r="E308" s="70" t="s">
        <v>466</v>
      </c>
      <c r="F308" s="90"/>
    </row>
    <row r="309" spans="1:6" x14ac:dyDescent="0.2">
      <c r="A309" s="90"/>
      <c r="B309" s="70" t="s">
        <v>549</v>
      </c>
      <c r="C309" s="70" t="s">
        <v>414</v>
      </c>
      <c r="D309" s="70" t="s">
        <v>467</v>
      </c>
      <c r="E309" s="70" t="s">
        <v>467</v>
      </c>
      <c r="F309" s="90"/>
    </row>
    <row r="310" spans="1:6" x14ac:dyDescent="0.2">
      <c r="A310" s="90"/>
      <c r="B310" s="70" t="s">
        <v>550</v>
      </c>
      <c r="C310" s="70" t="s">
        <v>348</v>
      </c>
      <c r="D310" s="70" t="s">
        <v>354</v>
      </c>
      <c r="E310" s="70" t="s">
        <v>354</v>
      </c>
      <c r="F310" s="90"/>
    </row>
    <row r="311" spans="1:6" x14ac:dyDescent="0.2">
      <c r="A311" s="90"/>
      <c r="B311" s="70" t="s">
        <v>551</v>
      </c>
      <c r="C311" s="70" t="s">
        <v>13</v>
      </c>
      <c r="D311" s="70" t="s">
        <v>136</v>
      </c>
      <c r="E311" s="70" t="s">
        <v>150</v>
      </c>
      <c r="F311" s="90"/>
    </row>
    <row r="312" spans="1:6" x14ac:dyDescent="0.2">
      <c r="A312" s="90"/>
      <c r="B312" s="70" t="s">
        <v>552</v>
      </c>
      <c r="C312" s="70" t="s">
        <v>415</v>
      </c>
      <c r="D312" s="70" t="s">
        <v>468</v>
      </c>
      <c r="E312" s="70" t="s">
        <v>468</v>
      </c>
      <c r="F312" s="90"/>
    </row>
    <row r="313" spans="1:6" x14ac:dyDescent="0.2">
      <c r="A313" s="90"/>
      <c r="B313" s="70" t="s">
        <v>553</v>
      </c>
      <c r="C313" s="70" t="s">
        <v>416</v>
      </c>
      <c r="D313" s="70" t="s">
        <v>416</v>
      </c>
      <c r="E313" s="70" t="s">
        <v>469</v>
      </c>
      <c r="F313" s="90"/>
    </row>
    <row r="314" spans="1:6" x14ac:dyDescent="0.2">
      <c r="A314" s="90"/>
      <c r="B314" s="70" t="s">
        <v>554</v>
      </c>
      <c r="C314" s="70" t="s">
        <v>417</v>
      </c>
      <c r="D314" s="70" t="s">
        <v>494</v>
      </c>
      <c r="E314" s="70" t="s">
        <v>470</v>
      </c>
      <c r="F314" s="90"/>
    </row>
    <row r="315" spans="1:6" x14ac:dyDescent="0.2">
      <c r="A315" s="90"/>
      <c r="B315" s="70" t="s">
        <v>555</v>
      </c>
      <c r="C315" s="70" t="s">
        <v>418</v>
      </c>
      <c r="D315" s="70" t="s">
        <v>471</v>
      </c>
      <c r="E315" s="70" t="s">
        <v>471</v>
      </c>
      <c r="F315" s="90"/>
    </row>
    <row r="316" spans="1:6" x14ac:dyDescent="0.2">
      <c r="A316" s="90"/>
      <c r="B316" s="70" t="s">
        <v>556</v>
      </c>
      <c r="C316" s="70" t="s">
        <v>350</v>
      </c>
      <c r="D316" s="70" t="s">
        <v>356</v>
      </c>
      <c r="E316" s="70" t="s">
        <v>356</v>
      </c>
      <c r="F316" s="90"/>
    </row>
    <row r="317" spans="1:6" x14ac:dyDescent="0.2">
      <c r="A317" s="90"/>
      <c r="B317" s="70" t="s">
        <v>557</v>
      </c>
      <c r="C317" s="70" t="s">
        <v>419</v>
      </c>
      <c r="D317" s="70" t="s">
        <v>495</v>
      </c>
      <c r="E317" s="70" t="s">
        <v>472</v>
      </c>
      <c r="F317" s="90"/>
    </row>
    <row r="318" spans="1:6" x14ac:dyDescent="0.2">
      <c r="A318" s="90"/>
      <c r="B318" s="70" t="s">
        <v>558</v>
      </c>
      <c r="C318" s="70" t="s">
        <v>578</v>
      </c>
      <c r="D318" s="70" t="s">
        <v>578</v>
      </c>
      <c r="E318" s="70" t="s">
        <v>578</v>
      </c>
      <c r="F318" s="90"/>
    </row>
    <row r="319" spans="1:6" x14ac:dyDescent="0.2">
      <c r="A319" s="90"/>
      <c r="B319" s="70" t="s">
        <v>559</v>
      </c>
      <c r="C319" s="70" t="s">
        <v>420</v>
      </c>
      <c r="D319" s="70" t="s">
        <v>496</v>
      </c>
      <c r="E319" s="70" t="s">
        <v>473</v>
      </c>
      <c r="F319" s="90"/>
    </row>
    <row r="320" spans="1:6" x14ac:dyDescent="0.2">
      <c r="A320" s="90"/>
      <c r="B320" s="70" t="s">
        <v>560</v>
      </c>
      <c r="C320" s="70" t="s">
        <v>347</v>
      </c>
      <c r="D320" s="70" t="s">
        <v>353</v>
      </c>
      <c r="E320" s="70" t="s">
        <v>358</v>
      </c>
      <c r="F320" s="90"/>
    </row>
    <row r="321" spans="1:6" x14ac:dyDescent="0.2">
      <c r="A321" s="90"/>
      <c r="B321" s="70" t="s">
        <v>561</v>
      </c>
      <c r="C321" s="70" t="s">
        <v>421</v>
      </c>
      <c r="D321" s="70" t="s">
        <v>497</v>
      </c>
      <c r="E321" s="70" t="s">
        <v>474</v>
      </c>
      <c r="F321" s="90"/>
    </row>
    <row r="322" spans="1:6" x14ac:dyDescent="0.2">
      <c r="A322" s="90"/>
      <c r="B322" s="70" t="s">
        <v>562</v>
      </c>
      <c r="C322" s="70" t="s">
        <v>422</v>
      </c>
      <c r="D322" s="70" t="s">
        <v>498</v>
      </c>
      <c r="E322" s="70" t="s">
        <v>475</v>
      </c>
      <c r="F322" s="90"/>
    </row>
    <row r="323" spans="1:6" x14ac:dyDescent="0.2">
      <c r="A323" s="90"/>
      <c r="B323" s="70" t="s">
        <v>563</v>
      </c>
      <c r="C323" s="70" t="s">
        <v>423</v>
      </c>
      <c r="D323" s="70" t="s">
        <v>499</v>
      </c>
      <c r="E323" s="70" t="s">
        <v>476</v>
      </c>
      <c r="F323" s="90"/>
    </row>
    <row r="324" spans="1:6" x14ac:dyDescent="0.2">
      <c r="A324" s="90"/>
      <c r="B324" s="70" t="s">
        <v>564</v>
      </c>
      <c r="C324" s="70" t="s">
        <v>424</v>
      </c>
      <c r="D324" s="70" t="s">
        <v>500</v>
      </c>
      <c r="E324" s="70" t="s">
        <v>477</v>
      </c>
      <c r="F324" s="90"/>
    </row>
    <row r="325" spans="1:6" x14ac:dyDescent="0.2">
      <c r="A325" s="90"/>
      <c r="B325" s="70" t="s">
        <v>565</v>
      </c>
      <c r="C325" s="70" t="s">
        <v>425</v>
      </c>
      <c r="D325" s="70" t="s">
        <v>501</v>
      </c>
      <c r="E325" s="70" t="s">
        <v>478</v>
      </c>
      <c r="F325" s="90"/>
    </row>
    <row r="326" spans="1:6" x14ac:dyDescent="0.2">
      <c r="A326" s="90"/>
      <c r="B326" s="70" t="s">
        <v>566</v>
      </c>
      <c r="C326" s="70" t="s">
        <v>426</v>
      </c>
      <c r="D326" s="70" t="s">
        <v>502</v>
      </c>
      <c r="E326" s="70" t="s">
        <v>479</v>
      </c>
      <c r="F326" s="90"/>
    </row>
    <row r="327" spans="1:6" x14ac:dyDescent="0.2">
      <c r="A327" s="90"/>
      <c r="B327" s="70" t="s">
        <v>567</v>
      </c>
      <c r="C327" s="70" t="s">
        <v>427</v>
      </c>
      <c r="D327" s="70" t="s">
        <v>503</v>
      </c>
      <c r="E327" s="70" t="s">
        <v>480</v>
      </c>
      <c r="F327" s="90"/>
    </row>
    <row r="328" spans="1:6" x14ac:dyDescent="0.2">
      <c r="A328" s="90"/>
      <c r="B328" s="70" t="s">
        <v>568</v>
      </c>
      <c r="C328" s="70" t="s">
        <v>428</v>
      </c>
      <c r="D328" s="70" t="s">
        <v>504</v>
      </c>
      <c r="E328" s="70" t="s">
        <v>481</v>
      </c>
      <c r="F328" s="90"/>
    </row>
    <row r="329" spans="1:6" x14ac:dyDescent="0.2">
      <c r="A329" s="90"/>
      <c r="B329" s="70" t="s">
        <v>569</v>
      </c>
      <c r="C329" s="70" t="s">
        <v>429</v>
      </c>
      <c r="D329" s="70" t="s">
        <v>482</v>
      </c>
      <c r="E329" s="70" t="s">
        <v>482</v>
      </c>
      <c r="F329" s="90"/>
    </row>
    <row r="330" spans="1:6" x14ac:dyDescent="0.2">
      <c r="A330" s="90"/>
      <c r="B330" s="70" t="s">
        <v>570</v>
      </c>
      <c r="C330" s="70" t="s">
        <v>430</v>
      </c>
      <c r="D330" s="70" t="s">
        <v>505</v>
      </c>
      <c r="E330" s="70" t="s">
        <v>483</v>
      </c>
      <c r="F330" s="90"/>
    </row>
    <row r="331" spans="1:6" x14ac:dyDescent="0.2">
      <c r="A331" s="90"/>
      <c r="B331" s="70" t="s">
        <v>571</v>
      </c>
      <c r="C331" s="70" t="s">
        <v>351</v>
      </c>
      <c r="D331" s="70" t="s">
        <v>357</v>
      </c>
      <c r="E331" s="70" t="s">
        <v>361</v>
      </c>
      <c r="F331" s="90"/>
    </row>
    <row r="332" spans="1:6" x14ac:dyDescent="0.2">
      <c r="A332" s="90"/>
      <c r="B332" s="70" t="s">
        <v>572</v>
      </c>
      <c r="C332" s="70" t="s">
        <v>39</v>
      </c>
      <c r="D332" s="70" t="s">
        <v>144</v>
      </c>
      <c r="E332" s="70" t="s">
        <v>155</v>
      </c>
      <c r="F332" s="90"/>
    </row>
    <row r="333" spans="1:6" x14ac:dyDescent="0.2">
      <c r="A333" s="90"/>
      <c r="B333" s="70" t="s">
        <v>573</v>
      </c>
      <c r="C333" s="70" t="s">
        <v>23</v>
      </c>
      <c r="D333" s="70" t="s">
        <v>143</v>
      </c>
      <c r="E333" s="70" t="s">
        <v>154</v>
      </c>
      <c r="F333" s="90"/>
    </row>
    <row r="334" spans="1:6" x14ac:dyDescent="0.2">
      <c r="A334" s="90"/>
      <c r="B334" s="70" t="s">
        <v>574</v>
      </c>
      <c r="C334" s="70" t="s">
        <v>431</v>
      </c>
      <c r="D334" s="70" t="s">
        <v>506</v>
      </c>
      <c r="E334" s="70" t="s">
        <v>484</v>
      </c>
      <c r="F334" s="90"/>
    </row>
    <row r="335" spans="1:6" x14ac:dyDescent="0.2">
      <c r="A335" s="89"/>
      <c r="B335" s="90"/>
      <c r="C335" s="90"/>
      <c r="D335" s="90"/>
      <c r="E335" s="90"/>
      <c r="F335" s="90"/>
    </row>
    <row r="336" spans="1:6" ht="13.5" customHeight="1" x14ac:dyDescent="0.2">
      <c r="A336" s="90"/>
      <c r="B336" s="88" t="s">
        <v>576</v>
      </c>
      <c r="C336" s="94" t="s">
        <v>618</v>
      </c>
      <c r="D336" s="94" t="s">
        <v>619</v>
      </c>
      <c r="E336" s="94" t="s">
        <v>620</v>
      </c>
      <c r="F336" s="90"/>
    </row>
    <row r="337" spans="1:6" x14ac:dyDescent="0.2">
      <c r="A337" s="89"/>
      <c r="B337" s="90"/>
      <c r="C337" s="90"/>
      <c r="D337" s="90"/>
      <c r="E337" s="90"/>
      <c r="F337" s="9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2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VLOOKUP("&lt;T11Titel1&gt;",Uebersetzungen!$B$4:$E$315,Uebersetzungen!$B$2+1,FALSE)</f>
        <v>Hotel- und Kurbetriebe: Logiernächte im November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VLOOKUP("&lt;T11SpaltenTitel_1&gt;",Uebersetzungen!$B$4:$E$315,Uebersetzungen!$B$2+1,FALSE)</f>
        <v>November 2025</v>
      </c>
      <c r="D12" s="21" t="str">
        <f>VLOOKUP("&lt;T11SpaltenTitel_2&gt;",Uebersetzungen!$B$4:$E$315,Uebersetzungen!$B$2+1,FALSE)</f>
        <v>November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VLOOKUP("&lt;T11SpaltenTitel_5&gt;",Uebersetzungen!$B$4:$E$315,Uebersetzungen!$B$2+1,FALSE)</f>
        <v>Januar-November 25</v>
      </c>
      <c r="H12" s="22" t="str">
        <f>VLOOKUP("&lt;T11SpaltenTitel_6&gt;",Uebersetzungen!$B$4:$E$315,Uebersetzungen!$B$2+1,FALSE)</f>
        <v>Januar-November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6836</v>
      </c>
      <c r="D13" s="52">
        <v>6193</v>
      </c>
      <c r="E13" s="53">
        <f t="shared" ref="E13:E31" si="0">C13/D13-1</f>
        <v>0.10382690134022288</v>
      </c>
      <c r="F13" s="72">
        <v>0.34397609311104138</v>
      </c>
      <c r="G13" s="76">
        <v>362117</v>
      </c>
      <c r="H13" s="52">
        <v>373888</v>
      </c>
      <c r="I13" s="53">
        <f t="shared" ref="I13:I31" si="1">G13/H13-1</f>
        <v>-3.1482690003423519E-2</v>
      </c>
      <c r="J13" s="54">
        <v>4.8800380458299264E-2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641</v>
      </c>
      <c r="D14" s="52">
        <v>367</v>
      </c>
      <c r="E14" s="53">
        <f t="shared" si="0"/>
        <v>0.7465940054495912</v>
      </c>
      <c r="F14" s="72">
        <v>1.2210672210672211</v>
      </c>
      <c r="G14" s="76">
        <v>58069</v>
      </c>
      <c r="H14" s="52">
        <v>53707</v>
      </c>
      <c r="I14" s="53">
        <f t="shared" si="1"/>
        <v>8.1218463142607167E-2</v>
      </c>
      <c r="J14" s="54">
        <v>2.3155750703024225E-2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332</v>
      </c>
      <c r="D15" s="52">
        <v>427</v>
      </c>
      <c r="E15" s="53">
        <f t="shared" si="0"/>
        <v>-0.22248243559718972</v>
      </c>
      <c r="F15" s="72">
        <v>4.0752351097178785E-2</v>
      </c>
      <c r="G15" s="76">
        <v>51203</v>
      </c>
      <c r="H15" s="52">
        <v>50369</v>
      </c>
      <c r="I15" s="53">
        <f t="shared" si="1"/>
        <v>1.655780341082802E-2</v>
      </c>
      <c r="J15" s="54">
        <v>-2.4949917354112783E-2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3749</v>
      </c>
      <c r="D16" s="52">
        <v>3694</v>
      </c>
      <c r="E16" s="53">
        <f t="shared" si="0"/>
        <v>1.4889009204114734E-2</v>
      </c>
      <c r="F16" s="72">
        <v>0.10700998051142752</v>
      </c>
      <c r="G16" s="76">
        <v>53089</v>
      </c>
      <c r="H16" s="52">
        <v>54763</v>
      </c>
      <c r="I16" s="53">
        <f t="shared" si="1"/>
        <v>-3.0568084290488073E-2</v>
      </c>
      <c r="J16" s="54">
        <v>0.14224916949240063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15733</v>
      </c>
      <c r="D17" s="52">
        <v>14068</v>
      </c>
      <c r="E17" s="53">
        <f t="shared" si="0"/>
        <v>0.11835371054876309</v>
      </c>
      <c r="F17" s="72">
        <v>0.40142877503028584</v>
      </c>
      <c r="G17" s="76">
        <v>242657</v>
      </c>
      <c r="H17" s="52">
        <v>227956</v>
      </c>
      <c r="I17" s="53">
        <f t="shared" si="1"/>
        <v>6.4490515713558683E-2</v>
      </c>
      <c r="J17" s="54">
        <v>0.37904323927429129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21795</v>
      </c>
      <c r="D18" s="52">
        <v>21322</v>
      </c>
      <c r="E18" s="53">
        <f t="shared" si="0"/>
        <v>2.2183660069411859E-2</v>
      </c>
      <c r="F18" s="72">
        <v>-0.1024806865538882</v>
      </c>
      <c r="G18" s="76">
        <v>854185</v>
      </c>
      <c r="H18" s="52">
        <v>853963</v>
      </c>
      <c r="I18" s="53">
        <f t="shared" si="1"/>
        <v>2.5996442468811942E-4</v>
      </c>
      <c r="J18" s="54">
        <v>5.8623383718180655E-2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1136</v>
      </c>
      <c r="D19" s="52">
        <v>1180</v>
      </c>
      <c r="E19" s="53">
        <f t="shared" si="0"/>
        <v>-3.7288135593220306E-2</v>
      </c>
      <c r="F19" s="72">
        <v>0.30845427320893792</v>
      </c>
      <c r="G19" s="76">
        <v>122847</v>
      </c>
      <c r="H19" s="52">
        <v>122002</v>
      </c>
      <c r="I19" s="53">
        <f t="shared" si="1"/>
        <v>6.9261159653120075E-3</v>
      </c>
      <c r="J19" s="54">
        <v>-8.9515201288193902E-3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11144</v>
      </c>
      <c r="D20" s="52">
        <v>14672</v>
      </c>
      <c r="E20" s="53">
        <f t="shared" si="0"/>
        <v>-0.24045801526717558</v>
      </c>
      <c r="F20" s="72">
        <v>-0.15261196867158389</v>
      </c>
      <c r="G20" s="76">
        <v>510843</v>
      </c>
      <c r="H20" s="52">
        <v>501401</v>
      </c>
      <c r="I20" s="53">
        <f t="shared" si="1"/>
        <v>1.883123487986671E-2</v>
      </c>
      <c r="J20" s="54">
        <v>5.3569917401565803E-3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30351</v>
      </c>
      <c r="D21" s="52">
        <v>36722</v>
      </c>
      <c r="E21" s="53">
        <f t="shared" si="0"/>
        <v>-0.17349272915418545</v>
      </c>
      <c r="F21" s="72">
        <v>0.16580370586608484</v>
      </c>
      <c r="G21" s="76">
        <v>1571268</v>
      </c>
      <c r="H21" s="52">
        <v>1518055</v>
      </c>
      <c r="I21" s="53">
        <f t="shared" si="1"/>
        <v>3.5053407155867244E-2</v>
      </c>
      <c r="J21" s="54">
        <v>9.6488944796487841E-2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5952</v>
      </c>
      <c r="D22" s="52">
        <v>6576</v>
      </c>
      <c r="E22" s="53">
        <f t="shared" si="0"/>
        <v>-9.4890510948905105E-2</v>
      </c>
      <c r="F22" s="72">
        <v>-0.17855861326561595</v>
      </c>
      <c r="G22" s="76">
        <v>435617</v>
      </c>
      <c r="H22" s="52">
        <v>422225</v>
      </c>
      <c r="I22" s="53">
        <f t="shared" si="1"/>
        <v>3.1717686067854745E-2</v>
      </c>
      <c r="J22" s="54">
        <v>-4.7324849985762918E-2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8953</v>
      </c>
      <c r="D23" s="52">
        <v>9721</v>
      </c>
      <c r="E23" s="53">
        <f t="shared" si="0"/>
        <v>-7.9004217673078858E-2</v>
      </c>
      <c r="F23" s="72">
        <v>7.577141209266558E-2</v>
      </c>
      <c r="G23" s="76">
        <v>290784</v>
      </c>
      <c r="H23" s="52">
        <v>297403</v>
      </c>
      <c r="I23" s="53">
        <f t="shared" si="1"/>
        <v>-2.2255996072669038E-2</v>
      </c>
      <c r="J23" s="54">
        <v>-2.8698397598201142E-2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3984</v>
      </c>
      <c r="D24" s="52">
        <v>3715</v>
      </c>
      <c r="E24" s="53">
        <f t="shared" si="0"/>
        <v>7.2409152086137185E-2</v>
      </c>
      <c r="F24" s="72">
        <v>0.1420708634330925</v>
      </c>
      <c r="G24" s="76">
        <v>79163</v>
      </c>
      <c r="H24" s="52">
        <v>73961</v>
      </c>
      <c r="I24" s="53">
        <f t="shared" si="1"/>
        <v>7.0334365408796451E-2</v>
      </c>
      <c r="J24" s="54">
        <v>0.16679391450713799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988</v>
      </c>
      <c r="D25" s="52">
        <v>939</v>
      </c>
      <c r="E25" s="53">
        <f t="shared" si="0"/>
        <v>5.2183173588924436E-2</v>
      </c>
      <c r="F25" s="72">
        <v>0.28245067497403942</v>
      </c>
      <c r="G25" s="76">
        <v>30848</v>
      </c>
      <c r="H25" s="52">
        <v>22870</v>
      </c>
      <c r="I25" s="53">
        <f t="shared" si="1"/>
        <v>0.34884127678181032</v>
      </c>
      <c r="J25" s="54">
        <v>0.379248674315249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156</v>
      </c>
      <c r="D26" s="52">
        <v>262</v>
      </c>
      <c r="E26" s="53">
        <f t="shared" si="0"/>
        <v>-0.40458015267175573</v>
      </c>
      <c r="F26" s="72">
        <v>-0.53488372093023251</v>
      </c>
      <c r="G26" s="76">
        <v>91608</v>
      </c>
      <c r="H26" s="52">
        <v>86018</v>
      </c>
      <c r="I26" s="53">
        <f t="shared" si="1"/>
        <v>6.498639819572638E-2</v>
      </c>
      <c r="J26" s="54">
        <v>0.28232119060683769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2723</v>
      </c>
      <c r="D27" s="52">
        <v>2556</v>
      </c>
      <c r="E27" s="53">
        <f t="shared" si="0"/>
        <v>6.5336463223787167E-2</v>
      </c>
      <c r="F27" s="72">
        <v>0.19850352112676051</v>
      </c>
      <c r="G27" s="77">
        <v>100098</v>
      </c>
      <c r="H27" s="52">
        <v>91491</v>
      </c>
      <c r="I27" s="53">
        <f t="shared" si="1"/>
        <v>9.4074827032167185E-2</v>
      </c>
      <c r="J27" s="54">
        <v>2.7417507297786692E-2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1594</v>
      </c>
      <c r="D28" s="52">
        <v>2087</v>
      </c>
      <c r="E28" s="53">
        <f t="shared" si="0"/>
        <v>-0.23622424532822228</v>
      </c>
      <c r="F28" s="72">
        <v>4.410838059231148E-3</v>
      </c>
      <c r="G28" s="76">
        <v>75146</v>
      </c>
      <c r="H28" s="52">
        <v>69578</v>
      </c>
      <c r="I28" s="53">
        <f t="shared" si="1"/>
        <v>8.0025295351979109E-2</v>
      </c>
      <c r="J28" s="54">
        <v>7.7294048834195328E-2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4135</v>
      </c>
      <c r="D29" s="55">
        <v>4576</v>
      </c>
      <c r="E29" s="53">
        <f t="shared" si="0"/>
        <v>-9.6372377622377603E-2</v>
      </c>
      <c r="F29" s="72">
        <v>-0.15681076672104399</v>
      </c>
      <c r="G29" s="77">
        <v>58002</v>
      </c>
      <c r="H29" s="55">
        <v>59515</v>
      </c>
      <c r="I29" s="53">
        <f t="shared" si="1"/>
        <v>-2.5422162480047028E-2</v>
      </c>
      <c r="J29" s="54">
        <v>-0.12128566623944448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3652</v>
      </c>
      <c r="D30" s="57">
        <v>3317</v>
      </c>
      <c r="E30" s="53">
        <f t="shared" si="0"/>
        <v>0.10099487488694603</v>
      </c>
      <c r="F30" s="73">
        <v>0.2660334188449005</v>
      </c>
      <c r="G30" s="78">
        <v>87178</v>
      </c>
      <c r="H30" s="57">
        <v>86522</v>
      </c>
      <c r="I30" s="53">
        <f t="shared" si="1"/>
        <v>7.581886687778816E-3</v>
      </c>
      <c r="J30" s="58">
        <v>2.7819435405525228E-2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123854</v>
      </c>
      <c r="D31" s="19">
        <v>132394</v>
      </c>
      <c r="E31" s="12">
        <f t="shared" si="0"/>
        <v>-6.4504433735667832E-2</v>
      </c>
      <c r="F31" s="74">
        <v>6.354257725354695E-2</v>
      </c>
      <c r="G31" s="79">
        <v>5074722</v>
      </c>
      <c r="H31" s="19">
        <v>4965687</v>
      </c>
      <c r="I31" s="12">
        <f t="shared" si="1"/>
        <v>2.1957686821581834E-2</v>
      </c>
      <c r="J31" s="47">
        <v>6.0498140024686009E-2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VLOOKUP("&lt;T11Titel2&gt;",Uebersetzungen!$B$4:$E$315,Uebersetzungen!$B$2+1,FALSE)</f>
        <v>Hotel- und Kurbetriebe: Logiernächte im November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VLOOKUP("&lt;T11SpaltenTitel_1&gt;",Uebersetzungen!$B$4:$E$315,Uebersetzungen!$B$2+1,FALSE)</f>
        <v>November 2025</v>
      </c>
      <c r="D39" s="21" t="str">
        <f>VLOOKUP("&lt;T11SpaltenTitel_2&gt;",Uebersetzungen!$B$4:$E$315,Uebersetzungen!$B$2+1,FALSE)</f>
        <v>November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VLOOKUP("&lt;T11SpaltenTitel_5&gt;",Uebersetzungen!$B$4:$E$315,Uebersetzungen!$B$2+1,FALSE)</f>
        <v>Januar-November 25</v>
      </c>
      <c r="H39" s="22" t="str">
        <f>VLOOKUP("&lt;T11SpaltenTitel_6&gt;",Uebersetzungen!$B$4:$E$315,Uebersetzungen!$B$2+1,FALSE)</f>
        <v>Januar-November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94995</v>
      </c>
      <c r="D40" s="17">
        <v>104348</v>
      </c>
      <c r="E40" s="10">
        <f>C40/D40-1</f>
        <v>-8.9632767278721159E-2</v>
      </c>
      <c r="F40" s="80">
        <v>-1.4946834676655696E-3</v>
      </c>
      <c r="G40" s="83">
        <v>3208846</v>
      </c>
      <c r="H40" s="17">
        <v>3176302</v>
      </c>
      <c r="I40" s="10">
        <f>G40/H40-1</f>
        <v>1.0245877123774783E-2</v>
      </c>
      <c r="J40" s="44">
        <v>-4.2685563828878337E-2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8484</v>
      </c>
      <c r="D41" s="17">
        <v>9181</v>
      </c>
      <c r="E41" s="10">
        <f t="shared" ref="E41:E74" si="2">C41/D41-1</f>
        <v>-7.5917656028754998E-2</v>
      </c>
      <c r="F41" s="80">
        <v>0.11312288435802564</v>
      </c>
      <c r="G41" s="83">
        <v>670266</v>
      </c>
      <c r="H41" s="17">
        <v>683128</v>
      </c>
      <c r="I41" s="10">
        <f t="shared" ref="I41:I74" si="3">G41/H41-1</f>
        <v>-1.8828096637818925E-2</v>
      </c>
      <c r="J41" s="44">
        <v>0.12629266409032835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2269</v>
      </c>
      <c r="D42" s="17">
        <v>2000</v>
      </c>
      <c r="E42" s="10">
        <f t="shared" si="2"/>
        <v>0.13450000000000006</v>
      </c>
      <c r="F42" s="80">
        <v>1.1365348399246704</v>
      </c>
      <c r="G42" s="83">
        <v>155764</v>
      </c>
      <c r="H42" s="17">
        <v>134258</v>
      </c>
      <c r="I42" s="10">
        <f t="shared" si="3"/>
        <v>0.16018412310625818</v>
      </c>
      <c r="J42" s="44">
        <v>0.95302626035669147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1511</v>
      </c>
      <c r="D43" s="17">
        <v>1179</v>
      </c>
      <c r="E43" s="10">
        <f t="shared" si="2"/>
        <v>0.28159457167090762</v>
      </c>
      <c r="F43" s="80">
        <v>0.937676327263401</v>
      </c>
      <c r="G43" s="83">
        <v>160921</v>
      </c>
      <c r="H43" s="17">
        <v>144161</v>
      </c>
      <c r="I43" s="10">
        <f t="shared" si="3"/>
        <v>0.11625890497429947</v>
      </c>
      <c r="J43" s="44">
        <v>0.59803018085474013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220</v>
      </c>
      <c r="D44" s="17">
        <v>321</v>
      </c>
      <c r="E44" s="10">
        <f t="shared" si="2"/>
        <v>-0.31464174454828664</v>
      </c>
      <c r="F44" s="80">
        <v>-0.66473636086558985</v>
      </c>
      <c r="G44" s="83">
        <v>81038</v>
      </c>
      <c r="H44" s="17">
        <v>97602</v>
      </c>
      <c r="I44" s="10">
        <f t="shared" si="3"/>
        <v>-0.16970963709760045</v>
      </c>
      <c r="J44" s="44">
        <v>-0.29130249991692014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392</v>
      </c>
      <c r="D45" s="17">
        <v>779</v>
      </c>
      <c r="E45" s="10">
        <f t="shared" si="2"/>
        <v>-0.496790757381258</v>
      </c>
      <c r="F45" s="80">
        <v>-0.12617030762371828</v>
      </c>
      <c r="G45" s="83">
        <v>99854</v>
      </c>
      <c r="H45" s="17">
        <v>94512</v>
      </c>
      <c r="I45" s="10">
        <f t="shared" si="3"/>
        <v>5.6521923142034858E-2</v>
      </c>
      <c r="J45" s="44">
        <v>0.31634522852208757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936</v>
      </c>
      <c r="D46" s="17">
        <v>812</v>
      </c>
      <c r="E46" s="10">
        <f t="shared" si="2"/>
        <v>0.15270935960591125</v>
      </c>
      <c r="F46" s="80">
        <v>2.5865848312143891E-2</v>
      </c>
      <c r="G46" s="83">
        <v>46133</v>
      </c>
      <c r="H46" s="17">
        <v>46440</v>
      </c>
      <c r="I46" s="10">
        <f t="shared" si="3"/>
        <v>-6.6106804478897052E-3</v>
      </c>
      <c r="J46" s="44">
        <v>0.21542725562622156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3653</v>
      </c>
      <c r="D47" s="17">
        <v>4410</v>
      </c>
      <c r="E47" s="10">
        <f t="shared" si="2"/>
        <v>-0.1716553287981859</v>
      </c>
      <c r="F47" s="80">
        <v>0.24446412754650138</v>
      </c>
      <c r="G47" s="83">
        <v>94212</v>
      </c>
      <c r="H47" s="17">
        <v>89871</v>
      </c>
      <c r="I47" s="10">
        <f t="shared" si="3"/>
        <v>4.8302567012718178E-2</v>
      </c>
      <c r="J47" s="44">
        <v>0.28625844767560915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813</v>
      </c>
      <c r="D48" s="17">
        <v>983</v>
      </c>
      <c r="E48" s="10">
        <f t="shared" si="2"/>
        <v>-0.17293997965412</v>
      </c>
      <c r="F48" s="80">
        <v>-4.1725601131541667E-2</v>
      </c>
      <c r="G48" s="83">
        <v>60125</v>
      </c>
      <c r="H48" s="17">
        <v>57276</v>
      </c>
      <c r="I48" s="10">
        <f t="shared" si="3"/>
        <v>4.9741602067183477E-2</v>
      </c>
      <c r="J48" s="44">
        <v>0.30403192573795734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552</v>
      </c>
      <c r="D49" s="17">
        <v>382</v>
      </c>
      <c r="E49" s="10">
        <f t="shared" si="2"/>
        <v>0.44502617801047117</v>
      </c>
      <c r="F49" s="80">
        <v>1.7111984282907664</v>
      </c>
      <c r="G49" s="83">
        <v>25073</v>
      </c>
      <c r="H49" s="17">
        <v>23267</v>
      </c>
      <c r="I49" s="10">
        <f t="shared" si="3"/>
        <v>7.7620664460394506E-2</v>
      </c>
      <c r="J49" s="44">
        <v>1.0615852655813187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288</v>
      </c>
      <c r="D50" s="17">
        <v>317</v>
      </c>
      <c r="E50" s="10">
        <f t="shared" si="2"/>
        <v>-9.148264984227128E-2</v>
      </c>
      <c r="F50" s="80">
        <v>1.0869565217391304</v>
      </c>
      <c r="G50" s="83">
        <v>16927</v>
      </c>
      <c r="H50" s="17">
        <v>17422</v>
      </c>
      <c r="I50" s="10">
        <f t="shared" si="3"/>
        <v>-2.8412352198369906E-2</v>
      </c>
      <c r="J50" s="44">
        <v>1.6711377623481147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279</v>
      </c>
      <c r="D51" s="17">
        <v>115</v>
      </c>
      <c r="E51" s="10">
        <f t="shared" si="2"/>
        <v>1.4260869565217393</v>
      </c>
      <c r="F51" s="80">
        <v>2.9075630252100839</v>
      </c>
      <c r="G51" s="83">
        <v>37403</v>
      </c>
      <c r="H51" s="17">
        <v>35220</v>
      </c>
      <c r="I51" s="10">
        <f t="shared" si="3"/>
        <v>6.1981828506530334E-2</v>
      </c>
      <c r="J51" s="44">
        <v>1.0269552588225093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156</v>
      </c>
      <c r="D52" s="17">
        <v>239</v>
      </c>
      <c r="E52" s="10">
        <f t="shared" si="2"/>
        <v>-0.34728033472803344</v>
      </c>
      <c r="F52" s="80">
        <v>-0.4022988505747126</v>
      </c>
      <c r="G52" s="83">
        <v>16489</v>
      </c>
      <c r="H52" s="17">
        <v>13300</v>
      </c>
      <c r="I52" s="10">
        <f t="shared" si="3"/>
        <v>0.23977443609022564</v>
      </c>
      <c r="J52" s="44">
        <v>0.97416311479335249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375</v>
      </c>
      <c r="D53" s="17">
        <v>218</v>
      </c>
      <c r="E53" s="10">
        <f t="shared" si="2"/>
        <v>0.72018348623853212</v>
      </c>
      <c r="F53" s="80">
        <v>1.4606299212598426</v>
      </c>
      <c r="G53" s="83">
        <v>20871</v>
      </c>
      <c r="H53" s="17">
        <v>16213</v>
      </c>
      <c r="I53" s="10">
        <f t="shared" si="3"/>
        <v>0.28730031456238825</v>
      </c>
      <c r="J53" s="44">
        <v>1.7291628527342628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209</v>
      </c>
      <c r="D54" s="17">
        <v>377</v>
      </c>
      <c r="E54" s="10">
        <f t="shared" si="2"/>
        <v>-0.44562334217506627</v>
      </c>
      <c r="F54" s="80">
        <v>0.4256480218281038</v>
      </c>
      <c r="G54" s="83">
        <v>14750</v>
      </c>
      <c r="H54" s="17">
        <v>14507</v>
      </c>
      <c r="I54" s="10">
        <f t="shared" si="3"/>
        <v>1.6750534224857061E-2</v>
      </c>
      <c r="J54" s="44">
        <v>1.2604671121191688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359</v>
      </c>
      <c r="D55" s="17">
        <v>339</v>
      </c>
      <c r="E55" s="10">
        <f t="shared" si="2"/>
        <v>5.8997050147492569E-2</v>
      </c>
      <c r="F55" s="80">
        <v>-0.1818596171376482</v>
      </c>
      <c r="G55" s="83">
        <v>31458</v>
      </c>
      <c r="H55" s="17">
        <v>27280</v>
      </c>
      <c r="I55" s="10">
        <f t="shared" si="3"/>
        <v>0.15315249266862163</v>
      </c>
      <c r="J55" s="44">
        <v>-0.15751641688716544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1048</v>
      </c>
      <c r="D56" s="17">
        <v>869</v>
      </c>
      <c r="E56" s="10">
        <f t="shared" si="2"/>
        <v>0.20598388952819335</v>
      </c>
      <c r="F56" s="80">
        <v>1.8416485900216917</v>
      </c>
      <c r="G56" s="83">
        <v>31756</v>
      </c>
      <c r="H56" s="17">
        <v>25860</v>
      </c>
      <c r="I56" s="10">
        <f t="shared" si="3"/>
        <v>0.22799690641918025</v>
      </c>
      <c r="J56" s="44">
        <v>1.0735768482363235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283</v>
      </c>
      <c r="D57" s="17">
        <v>142</v>
      </c>
      <c r="E57" s="10">
        <f t="shared" si="2"/>
        <v>0.99295774647887325</v>
      </c>
      <c r="F57" s="80">
        <v>1.9540709812108559</v>
      </c>
      <c r="G57" s="83">
        <v>15701</v>
      </c>
      <c r="H57" s="17">
        <v>11793</v>
      </c>
      <c r="I57" s="10">
        <f t="shared" si="3"/>
        <v>0.33138302382769447</v>
      </c>
      <c r="J57" s="44">
        <v>1.4209763468714343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218</v>
      </c>
      <c r="D58" s="17">
        <v>237</v>
      </c>
      <c r="E58" s="10">
        <f t="shared" si="2"/>
        <v>-8.0168776371308037E-2</v>
      </c>
      <c r="F58" s="80">
        <v>-0.12308930008045049</v>
      </c>
      <c r="G58" s="83">
        <v>20721</v>
      </c>
      <c r="H58" s="17">
        <v>19920</v>
      </c>
      <c r="I58" s="10">
        <f t="shared" si="3"/>
        <v>4.021084337349401E-2</v>
      </c>
      <c r="J58" s="44">
        <v>0.28983865345351334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117</v>
      </c>
      <c r="D59" s="17">
        <v>183</v>
      </c>
      <c r="E59" s="10">
        <f t="shared" si="2"/>
        <v>-0.36065573770491799</v>
      </c>
      <c r="F59" s="80">
        <v>-0.40609137055837563</v>
      </c>
      <c r="G59" s="83">
        <v>15901</v>
      </c>
      <c r="H59" s="17">
        <v>14577</v>
      </c>
      <c r="I59" s="10">
        <f t="shared" si="3"/>
        <v>9.0828016738697892E-2</v>
      </c>
      <c r="J59" s="44">
        <v>0.32442112277194757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83</v>
      </c>
      <c r="D60" s="17">
        <v>47</v>
      </c>
      <c r="E60" s="10">
        <f t="shared" si="2"/>
        <v>0.76595744680851063</v>
      </c>
      <c r="F60" s="80">
        <v>4.0100250626566414E-2</v>
      </c>
      <c r="G60" s="83">
        <v>14098</v>
      </c>
      <c r="H60" s="17">
        <v>14215</v>
      </c>
      <c r="I60" s="10">
        <f t="shared" si="3"/>
        <v>-8.230742173760075E-3</v>
      </c>
      <c r="J60" s="44">
        <v>0.27680770902767726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528</v>
      </c>
      <c r="D61" s="17">
        <v>421</v>
      </c>
      <c r="E61" s="10">
        <f t="shared" si="2"/>
        <v>0.25415676959619948</v>
      </c>
      <c r="F61" s="80">
        <v>0.55477031802120136</v>
      </c>
      <c r="G61" s="83">
        <v>16217</v>
      </c>
      <c r="H61" s="17">
        <v>14129</v>
      </c>
      <c r="I61" s="10">
        <f t="shared" si="3"/>
        <v>0.1477811593177154</v>
      </c>
      <c r="J61" s="44">
        <v>0.70364534089715303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59</v>
      </c>
      <c r="D62" s="17">
        <v>68</v>
      </c>
      <c r="E62" s="10">
        <f t="shared" si="2"/>
        <v>-0.13235294117647056</v>
      </c>
      <c r="F62" s="80">
        <v>-0.31395348837209303</v>
      </c>
      <c r="G62" s="83">
        <v>12665</v>
      </c>
      <c r="H62" s="17">
        <v>12985</v>
      </c>
      <c r="I62" s="10">
        <f t="shared" si="3"/>
        <v>-2.4643819792067756E-2</v>
      </c>
      <c r="J62" s="44">
        <v>5.7885065152021298E-2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208</v>
      </c>
      <c r="D63" s="17">
        <v>120</v>
      </c>
      <c r="E63" s="10">
        <f t="shared" si="2"/>
        <v>0.73333333333333339</v>
      </c>
      <c r="F63" s="80">
        <v>1.5060240963855422</v>
      </c>
      <c r="G63" s="83">
        <v>13345</v>
      </c>
      <c r="H63" s="17">
        <v>11356</v>
      </c>
      <c r="I63" s="10">
        <f t="shared" si="3"/>
        <v>0.1751497005988023</v>
      </c>
      <c r="J63" s="44">
        <v>0.75990399324787683</v>
      </c>
    </row>
    <row r="64" spans="1:10" x14ac:dyDescent="0.2">
      <c r="A64" s="24"/>
      <c r="B64" s="5"/>
      <c r="C64" s="13"/>
      <c r="D64" s="17"/>
      <c r="E64" s="10"/>
      <c r="F64" s="80"/>
      <c r="G64" s="83">
        <v>0</v>
      </c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>
        <v>0</v>
      </c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250</v>
      </c>
      <c r="D66" s="17">
        <v>166</v>
      </c>
      <c r="E66" s="10">
        <f t="shared" si="2"/>
        <v>0.50602409638554224</v>
      </c>
      <c r="F66" s="80">
        <v>2.0120481927710845</v>
      </c>
      <c r="G66" s="83">
        <v>14896</v>
      </c>
      <c r="H66" s="17">
        <v>14412</v>
      </c>
      <c r="I66" s="10">
        <f t="shared" si="3"/>
        <v>3.3583125173466621E-2</v>
      </c>
      <c r="J66" s="44">
        <v>1.0029043188296667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1321</v>
      </c>
      <c r="D67" s="17">
        <v>1028</v>
      </c>
      <c r="E67" s="10">
        <f t="shared" si="2"/>
        <v>0.28501945525291839</v>
      </c>
      <c r="F67" s="80">
        <v>0.72319332115836144</v>
      </c>
      <c r="G67" s="83">
        <v>47883</v>
      </c>
      <c r="H67" s="17">
        <v>40205</v>
      </c>
      <c r="I67" s="10">
        <f t="shared" si="3"/>
        <v>0.19097127222982224</v>
      </c>
      <c r="J67" s="44">
        <v>0.49590432810361929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1222</v>
      </c>
      <c r="D68" s="17">
        <v>1179</v>
      </c>
      <c r="E68" s="10">
        <f t="shared" si="2"/>
        <v>3.6471586089906749E-2</v>
      </c>
      <c r="F68" s="80">
        <v>0.62025987801644122</v>
      </c>
      <c r="G68" s="83">
        <v>31705</v>
      </c>
      <c r="H68" s="17">
        <v>34793</v>
      </c>
      <c r="I68" s="10">
        <f t="shared" si="3"/>
        <v>-8.8753484896387236E-2</v>
      </c>
      <c r="J68" s="44">
        <v>0.43320163820303925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957</v>
      </c>
      <c r="D69" s="17">
        <v>593</v>
      </c>
      <c r="E69" s="10">
        <f t="shared" si="2"/>
        <v>0.61382799325463733</v>
      </c>
      <c r="F69" s="80">
        <v>0.28732849071832134</v>
      </c>
      <c r="G69" s="83">
        <v>45019</v>
      </c>
      <c r="H69" s="17">
        <v>36919</v>
      </c>
      <c r="I69" s="10">
        <f t="shared" si="3"/>
        <v>0.21939922533113032</v>
      </c>
      <c r="J69" s="44">
        <v>0.27931957555882669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1166</v>
      </c>
      <c r="D70" s="17">
        <v>696</v>
      </c>
      <c r="E70" s="10">
        <f t="shared" si="2"/>
        <v>0.67528735632183912</v>
      </c>
      <c r="F70" s="80">
        <v>2.3797101449275364</v>
      </c>
      <c r="G70" s="83">
        <v>21532</v>
      </c>
      <c r="H70" s="17">
        <v>15860</v>
      </c>
      <c r="I70" s="10">
        <f t="shared" si="3"/>
        <v>0.35762925598991169</v>
      </c>
      <c r="J70" s="44">
        <v>1.6517894529421904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230</v>
      </c>
      <c r="D71" s="17">
        <v>99</v>
      </c>
      <c r="E71" s="10">
        <f t="shared" si="2"/>
        <v>1.3232323232323231</v>
      </c>
      <c r="F71" s="80">
        <v>1.7251184834123219</v>
      </c>
      <c r="G71" s="83">
        <v>6004</v>
      </c>
      <c r="H71" s="17">
        <v>6737</v>
      </c>
      <c r="I71" s="10">
        <f t="shared" si="3"/>
        <v>-0.10880213744990352</v>
      </c>
      <c r="J71" s="44">
        <v>0.36671978147052164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673</v>
      </c>
      <c r="D72" s="17">
        <v>546</v>
      </c>
      <c r="E72" s="10">
        <f t="shared" si="2"/>
        <v>0.23260073260073266</v>
      </c>
      <c r="F72" s="80">
        <v>0.84181718664477301</v>
      </c>
      <c r="G72" s="83">
        <v>27149</v>
      </c>
      <c r="H72" s="17">
        <v>21167</v>
      </c>
      <c r="I72" s="10">
        <f t="shared" si="3"/>
        <v>0.2826097226815325</v>
      </c>
      <c r="J72" s="44">
        <v>0.91860300768882897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123854</v>
      </c>
      <c r="D74" s="40">
        <v>132394</v>
      </c>
      <c r="E74" s="65">
        <f t="shared" si="2"/>
        <v>-6.4504433735667832E-2</v>
      </c>
      <c r="F74" s="82">
        <v>6.354257725354695E-2</v>
      </c>
      <c r="G74" s="79">
        <v>5074722</v>
      </c>
      <c r="H74" s="40">
        <v>4965687</v>
      </c>
      <c r="I74" s="65">
        <f t="shared" si="3"/>
        <v>2.1957686821581834E-2</v>
      </c>
      <c r="J74" s="66">
        <v>6.0498140024686009E-2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VLOOKUP("&lt;T11Titel3&gt;",Uebersetzungen!$B$4:$E$315,Uebersetzungen!$B$2+1,FALSE)</f>
        <v>Hotel- und Kurbetriebe: Logiernächte im November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VLOOKUP("&lt;T11SpaltenTitel_1&gt;",Uebersetzungen!$B$4:$E$315,Uebersetzungen!$B$2+1,FALSE)</f>
        <v>November 2025</v>
      </c>
      <c r="D82" s="21" t="str">
        <f>VLOOKUP("&lt;T11SpaltenTitel_2&gt;",Uebersetzungen!$B$4:$E$315,Uebersetzungen!$B$2+1,FALSE)</f>
        <v>November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VLOOKUP("&lt;T11SpaltenTitel_5&gt;",Uebersetzungen!$B$4:$E$315,Uebersetzungen!$B$2+1,FALSE)</f>
        <v>Januar-November 25</v>
      </c>
      <c r="H82" s="22" t="str">
        <f>VLOOKUP("&lt;T11SpaltenTitel_6&gt;",Uebersetzungen!$B$4:$E$315,Uebersetzungen!$B$2+1,FALSE)</f>
        <v>Januar-November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89154</v>
      </c>
      <c r="D83" s="17">
        <v>96548</v>
      </c>
      <c r="E83" s="10">
        <f>C83/D83-1</f>
        <v>-7.6583668227203083E-2</v>
      </c>
      <c r="F83" s="80">
        <v>0.12908332425716873</v>
      </c>
      <c r="G83" s="83">
        <v>1161665</v>
      </c>
      <c r="H83" s="17">
        <v>1134517</v>
      </c>
      <c r="I83" s="10">
        <f>G83/H83-1</f>
        <v>2.3929125786568139E-2</v>
      </c>
      <c r="J83" s="44">
        <v>0.28064710511235802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166144</v>
      </c>
      <c r="D84" s="17">
        <v>159741</v>
      </c>
      <c r="E84" s="10">
        <f t="shared" ref="E84:E96" si="4">C84/D84-1</f>
        <v>4.0083635384779104E-2</v>
      </c>
      <c r="F84" s="80">
        <v>0.42987219759886397</v>
      </c>
      <c r="G84" s="83">
        <v>1778305</v>
      </c>
      <c r="H84" s="17">
        <v>1647965</v>
      </c>
      <c r="I84" s="10">
        <f t="shared" ref="I84:I96" si="5">G84/H84-1</f>
        <v>7.909148555946266E-2</v>
      </c>
      <c r="J84" s="44">
        <v>0.43943704838123487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268675</v>
      </c>
      <c r="D85" s="17">
        <v>286122</v>
      </c>
      <c r="E85" s="10">
        <f t="shared" si="4"/>
        <v>-6.0977485128721365E-2</v>
      </c>
      <c r="F85" s="80">
        <v>0.21294573244450943</v>
      </c>
      <c r="G85" s="83">
        <v>5677008</v>
      </c>
      <c r="H85" s="17">
        <v>5761921</v>
      </c>
      <c r="I85" s="10">
        <f t="shared" si="5"/>
        <v>-1.4736925410813506E-2</v>
      </c>
      <c r="J85" s="44">
        <v>0.23381679961022139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36002</v>
      </c>
      <c r="D86" s="17">
        <v>33998</v>
      </c>
      <c r="E86" s="10">
        <f t="shared" si="4"/>
        <v>5.8944643802576691E-2</v>
      </c>
      <c r="F86" s="80">
        <v>0.3121792628878004</v>
      </c>
      <c r="G86" s="83">
        <v>480927</v>
      </c>
      <c r="H86" s="17">
        <v>453908</v>
      </c>
      <c r="I86" s="10">
        <f t="shared" si="5"/>
        <v>5.9525278250218028E-2</v>
      </c>
      <c r="J86" s="44">
        <v>0.18614383572793192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294351</v>
      </c>
      <c r="D87" s="17">
        <v>282807</v>
      </c>
      <c r="E87" s="10">
        <f t="shared" si="4"/>
        <v>4.08193573709279E-2</v>
      </c>
      <c r="F87" s="80">
        <v>0.42909369501637129</v>
      </c>
      <c r="G87" s="83">
        <v>3519281</v>
      </c>
      <c r="H87" s="17">
        <v>3470115</v>
      </c>
      <c r="I87" s="10">
        <f t="shared" si="5"/>
        <v>1.416840652255047E-2</v>
      </c>
      <c r="J87" s="44">
        <v>0.49089680852397843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123854</v>
      </c>
      <c r="D88" s="62">
        <v>132394</v>
      </c>
      <c r="E88" s="63">
        <f t="shared" si="4"/>
        <v>-6.4504433735667832E-2</v>
      </c>
      <c r="F88" s="85">
        <v>6.354257725354695E-2</v>
      </c>
      <c r="G88" s="87">
        <v>5074722</v>
      </c>
      <c r="H88" s="62">
        <v>4965687</v>
      </c>
      <c r="I88" s="63">
        <f t="shared" si="5"/>
        <v>2.1957686821581834E-2</v>
      </c>
      <c r="J88" s="64">
        <v>6.0498140024686009E-2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41715</v>
      </c>
      <c r="D89" s="17">
        <v>43569</v>
      </c>
      <c r="E89" s="10">
        <f t="shared" si="4"/>
        <v>-4.2553191489361653E-2</v>
      </c>
      <c r="F89" s="80">
        <v>0.14153814157645273</v>
      </c>
      <c r="G89" s="83">
        <v>587390</v>
      </c>
      <c r="H89" s="17">
        <v>583786</v>
      </c>
      <c r="I89" s="10">
        <f t="shared" si="5"/>
        <v>6.1734950821019652E-3</v>
      </c>
      <c r="J89" s="44">
        <v>0.10826419928718201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227614</v>
      </c>
      <c r="D90" s="17">
        <v>231931</v>
      </c>
      <c r="E90" s="10">
        <f t="shared" si="4"/>
        <v>-1.8613294471200525E-2</v>
      </c>
      <c r="F90" s="80">
        <v>0.2321161972174075</v>
      </c>
      <c r="G90" s="83">
        <v>3899857</v>
      </c>
      <c r="H90" s="17">
        <v>3793040</v>
      </c>
      <c r="I90" s="10">
        <f t="shared" si="5"/>
        <v>2.8161316516567281E-2</v>
      </c>
      <c r="J90" s="44">
        <v>0.27625658777082762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126859</v>
      </c>
      <c r="D91" s="17">
        <v>130131</v>
      </c>
      <c r="E91" s="10">
        <f t="shared" si="4"/>
        <v>-2.5143893461204492E-2</v>
      </c>
      <c r="F91" s="80">
        <v>8.6920014873939966E-2</v>
      </c>
      <c r="G91" s="83">
        <v>1908477</v>
      </c>
      <c r="H91" s="17">
        <v>1912973</v>
      </c>
      <c r="I91" s="10">
        <f t="shared" si="5"/>
        <v>-2.3502684042064903E-3</v>
      </c>
      <c r="J91" s="44">
        <v>8.2037641189612653E-2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97155</v>
      </c>
      <c r="D92" s="17">
        <v>105376</v>
      </c>
      <c r="E92" s="10">
        <f t="shared" si="4"/>
        <v>-7.8015866990586047E-2</v>
      </c>
      <c r="F92" s="80">
        <v>6.2216556386965882E-2</v>
      </c>
      <c r="G92" s="83">
        <v>2407656</v>
      </c>
      <c r="H92" s="17">
        <v>2328445</v>
      </c>
      <c r="I92" s="10">
        <f t="shared" si="5"/>
        <v>3.401884090025753E-2</v>
      </c>
      <c r="J92" s="44">
        <v>9.3948341618288467E-3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197008</v>
      </c>
      <c r="D93" s="17">
        <v>199091</v>
      </c>
      <c r="E93" s="10">
        <f t="shared" si="4"/>
        <v>-1.0462552300204431E-2</v>
      </c>
      <c r="F93" s="80">
        <v>0.27000990180707962</v>
      </c>
      <c r="G93" s="83">
        <v>2866550</v>
      </c>
      <c r="H93" s="17">
        <v>2720364</v>
      </c>
      <c r="I93" s="10">
        <f t="shared" si="5"/>
        <v>5.3737661577641926E-2</v>
      </c>
      <c r="J93" s="44">
        <v>0.27156115798631131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138397</v>
      </c>
      <c r="D94" s="17">
        <v>143828</v>
      </c>
      <c r="E94" s="33">
        <f t="shared" si="4"/>
        <v>-3.7760380454431641E-2</v>
      </c>
      <c r="F94" s="80">
        <v>0.18178340446389063</v>
      </c>
      <c r="G94" s="83">
        <v>4100938</v>
      </c>
      <c r="H94" s="17">
        <v>4033953</v>
      </c>
      <c r="I94" s="33">
        <f t="shared" si="5"/>
        <v>1.6605300061750761E-2</v>
      </c>
      <c r="J94" s="44">
        <v>0.13512523629424211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568743</v>
      </c>
      <c r="D95" s="18">
        <v>545911</v>
      </c>
      <c r="E95" s="43">
        <f t="shared" si="4"/>
        <v>4.1823667227808281E-2</v>
      </c>
      <c r="F95" s="11">
        <v>0.38103010694828776</v>
      </c>
      <c r="G95" s="84">
        <v>6904093</v>
      </c>
      <c r="H95" s="18">
        <v>6686552</v>
      </c>
      <c r="I95" s="43">
        <f t="shared" si="5"/>
        <v>3.2534107264850398E-2</v>
      </c>
      <c r="J95" s="48">
        <v>0.47089277898523063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2375671</v>
      </c>
      <c r="D96" s="40">
        <v>2391447</v>
      </c>
      <c r="E96" s="41">
        <f t="shared" si="4"/>
        <v>-6.5968428319758132E-3</v>
      </c>
      <c r="F96" s="86">
        <v>0.26363018677402339</v>
      </c>
      <c r="G96" s="79">
        <v>40366869</v>
      </c>
      <c r="H96" s="40">
        <v>39493226</v>
      </c>
      <c r="I96" s="41">
        <f t="shared" si="5"/>
        <v>2.2121337973251443E-2</v>
      </c>
      <c r="J96" s="45">
        <v>0.23860687090510435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VLOOKUP("&lt;T11Aktualisierung&gt;",Uebersetzungen!$B$4:$E$315,Uebersetzungen!$B$2+1,FALSE)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VLOOKUP("&lt;T11Legende_3&gt;",Uebersetzungen!$B$4:$E$315,Uebersetzungen!$B$2+1,FALSE)</f>
        <v>Daten des Dezember 2025 erscheinen am 20. Februar 2026.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100-000000000000}"/>
    <hyperlink ref="E76" location="Länder_Pajais_Paesi!A1" display="Länder / Pajais / Paese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1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VLOOKUP("&lt;T10Titel1&gt;",Uebersetzungen!$B$4:$E$315,Uebersetzungen!$B$2+1,FALSE)</f>
        <v>Hotel- und Kurbetriebe: Logiernächte im Oktober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VLOOKUP("&lt;T10SpaltenTitel_1&gt;",Uebersetzungen!$B$4:$E$315,Uebersetzungen!$B$2+1,FALSE)</f>
        <v>Oktober 2025</v>
      </c>
      <c r="D12" s="21" t="str">
        <f>VLOOKUP("&lt;T10SpaltenTitel_2&gt;",Uebersetzungen!$B$4:$E$315,Uebersetzungen!$B$2+1,FALSE)</f>
        <v>Oktober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VLOOKUP("&lt;T10SpaltenTitel_5&gt;",Uebersetzungen!$B$4:$E$315,Uebersetzungen!$B$2+1,FALSE)</f>
        <v>Januar-Oktober 25</v>
      </c>
      <c r="H12" s="22" t="str">
        <f>VLOOKUP("&lt;T10SpaltenTitel_6&gt;",Uebersetzungen!$B$4:$E$315,Uebersetzungen!$B$2+1,FALSE)</f>
        <v>Januar-Oktober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13086</v>
      </c>
      <c r="D13" s="52">
        <v>12351</v>
      </c>
      <c r="E13" s="53">
        <f t="shared" ref="E13:E31" si="0">C13/D13-1</f>
        <v>5.9509351469516636E-2</v>
      </c>
      <c r="F13" s="72">
        <v>-4.7764582605658412E-2</v>
      </c>
      <c r="G13" s="76">
        <v>355281</v>
      </c>
      <c r="H13" s="52">
        <v>367695</v>
      </c>
      <c r="I13" s="53">
        <f t="shared" ref="I13:I31" si="1">G13/H13-1</f>
        <v>-3.3761677477257002E-2</v>
      </c>
      <c r="J13" s="54">
        <v>4.4386906515171187E-2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5203</v>
      </c>
      <c r="D14" s="52">
        <v>4517</v>
      </c>
      <c r="E14" s="53">
        <f t="shared" si="0"/>
        <v>0.15187071064866053</v>
      </c>
      <c r="F14" s="72">
        <v>-1.970758911749193E-2</v>
      </c>
      <c r="G14" s="76">
        <v>57428</v>
      </c>
      <c r="H14" s="52">
        <v>53340</v>
      </c>
      <c r="I14" s="53">
        <f t="shared" si="1"/>
        <v>7.6640419947506588E-2</v>
      </c>
      <c r="J14" s="54">
        <v>1.7033198621476231E-2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4792</v>
      </c>
      <c r="D15" s="52">
        <v>4003</v>
      </c>
      <c r="E15" s="53">
        <f t="shared" si="0"/>
        <v>0.19710217336997249</v>
      </c>
      <c r="F15" s="72">
        <v>4.4782627654471607E-2</v>
      </c>
      <c r="G15" s="76">
        <v>50871</v>
      </c>
      <c r="H15" s="52">
        <v>49942</v>
      </c>
      <c r="I15" s="53">
        <f t="shared" si="1"/>
        <v>1.8601577830283045E-2</v>
      </c>
      <c r="J15" s="54">
        <v>-2.5351475834479609E-2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4821</v>
      </c>
      <c r="D16" s="52">
        <v>5274</v>
      </c>
      <c r="E16" s="53">
        <f t="shared" si="0"/>
        <v>-8.5893060295790691E-2</v>
      </c>
      <c r="F16" s="72">
        <v>-4.2502482621648463E-2</v>
      </c>
      <c r="G16" s="76">
        <v>49340</v>
      </c>
      <c r="H16" s="52">
        <v>51069</v>
      </c>
      <c r="I16" s="53">
        <f t="shared" si="1"/>
        <v>-3.3856155397599341E-2</v>
      </c>
      <c r="J16" s="54">
        <v>0.14501868139518703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21909</v>
      </c>
      <c r="D17" s="52">
        <v>20837</v>
      </c>
      <c r="E17" s="53">
        <f t="shared" si="0"/>
        <v>5.1446945337620509E-2</v>
      </c>
      <c r="F17" s="72">
        <v>0.20965337514769389</v>
      </c>
      <c r="G17" s="76">
        <v>226924</v>
      </c>
      <c r="H17" s="52">
        <v>213888</v>
      </c>
      <c r="I17" s="53">
        <f t="shared" si="1"/>
        <v>6.0947785757031747E-2</v>
      </c>
      <c r="J17" s="54">
        <v>0.37751769519346334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53600</v>
      </c>
      <c r="D18" s="52">
        <v>46063</v>
      </c>
      <c r="E18" s="53">
        <f t="shared" si="0"/>
        <v>0.16362373271389186</v>
      </c>
      <c r="F18" s="72">
        <v>0.21458223809437471</v>
      </c>
      <c r="G18" s="76">
        <v>832390</v>
      </c>
      <c r="H18" s="52">
        <v>832641</v>
      </c>
      <c r="I18" s="53">
        <f t="shared" si="1"/>
        <v>-3.0145044502971619E-4</v>
      </c>
      <c r="J18" s="54">
        <v>6.3622349728954308E-2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7989</v>
      </c>
      <c r="D19" s="52">
        <v>7331</v>
      </c>
      <c r="E19" s="53">
        <f t="shared" si="0"/>
        <v>8.9755831400900377E-2</v>
      </c>
      <c r="F19" s="72">
        <v>-0.11643699263420992</v>
      </c>
      <c r="G19" s="76">
        <v>121711</v>
      </c>
      <c r="H19" s="52">
        <v>120822</v>
      </c>
      <c r="I19" s="53">
        <f t="shared" si="1"/>
        <v>7.3579315025409375E-3</v>
      </c>
      <c r="J19" s="54">
        <v>-1.1190331501587658E-2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46049</v>
      </c>
      <c r="D20" s="52">
        <v>44322</v>
      </c>
      <c r="E20" s="53">
        <f t="shared" si="0"/>
        <v>3.8964848156671561E-2</v>
      </c>
      <c r="F20" s="72">
        <v>-5.9702528750653516E-2</v>
      </c>
      <c r="G20" s="76">
        <v>499699</v>
      </c>
      <c r="H20" s="52">
        <v>486729</v>
      </c>
      <c r="I20" s="53">
        <f t="shared" si="1"/>
        <v>2.6647271890518187E-2</v>
      </c>
      <c r="J20" s="54">
        <v>9.5541143907713622E-3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112626</v>
      </c>
      <c r="D21" s="52">
        <v>104985</v>
      </c>
      <c r="E21" s="53">
        <f t="shared" si="0"/>
        <v>7.278182597513938E-2</v>
      </c>
      <c r="F21" s="72">
        <v>7.1338883477414017E-2</v>
      </c>
      <c r="G21" s="76">
        <v>1540917</v>
      </c>
      <c r="H21" s="52">
        <v>1481333</v>
      </c>
      <c r="I21" s="53">
        <f t="shared" si="1"/>
        <v>4.0223231373364365E-2</v>
      </c>
      <c r="J21" s="54">
        <v>9.5206348416627229E-2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23416</v>
      </c>
      <c r="D22" s="52">
        <v>25157</v>
      </c>
      <c r="E22" s="53">
        <f t="shared" si="0"/>
        <v>-6.9205390149858936E-2</v>
      </c>
      <c r="F22" s="72">
        <v>-0.21916995124814087</v>
      </c>
      <c r="G22" s="76">
        <v>429665</v>
      </c>
      <c r="H22" s="52">
        <v>415649</v>
      </c>
      <c r="I22" s="53">
        <f t="shared" si="1"/>
        <v>3.3720759583206084E-2</v>
      </c>
      <c r="J22" s="54">
        <v>-4.5211803805597528E-2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22753</v>
      </c>
      <c r="D23" s="52">
        <v>21970</v>
      </c>
      <c r="E23" s="53">
        <f t="shared" si="0"/>
        <v>3.5639508420573618E-2</v>
      </c>
      <c r="F23" s="72">
        <v>-7.0691641003438943E-2</v>
      </c>
      <c r="G23" s="76">
        <v>281831</v>
      </c>
      <c r="H23" s="52">
        <v>287682</v>
      </c>
      <c r="I23" s="53">
        <f t="shared" si="1"/>
        <v>-2.0338429237839017E-2</v>
      </c>
      <c r="J23" s="54">
        <v>-3.1685616237856262E-2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5452</v>
      </c>
      <c r="D24" s="52">
        <v>4351</v>
      </c>
      <c r="E24" s="53">
        <f t="shared" si="0"/>
        <v>0.25304527694782819</v>
      </c>
      <c r="F24" s="72">
        <v>5.7531908290336498E-2</v>
      </c>
      <c r="G24" s="76">
        <v>75179</v>
      </c>
      <c r="H24" s="52">
        <v>70246</v>
      </c>
      <c r="I24" s="53">
        <f t="shared" si="1"/>
        <v>7.0224639125359367E-2</v>
      </c>
      <c r="J24" s="54">
        <v>0.16813397515778861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1748</v>
      </c>
      <c r="D25" s="52">
        <v>1297</v>
      </c>
      <c r="E25" s="53">
        <f t="shared" si="0"/>
        <v>0.34772552043176552</v>
      </c>
      <c r="F25" s="72">
        <v>0.2439510389980073</v>
      </c>
      <c r="G25" s="76">
        <v>29860</v>
      </c>
      <c r="H25" s="52">
        <v>21931</v>
      </c>
      <c r="I25" s="53">
        <f t="shared" si="1"/>
        <v>0.36154302129405869</v>
      </c>
      <c r="J25" s="54">
        <v>0.382701871694898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3450</v>
      </c>
      <c r="D26" s="52">
        <v>3587</v>
      </c>
      <c r="E26" s="53">
        <f t="shared" si="0"/>
        <v>-3.8193476442709762E-2</v>
      </c>
      <c r="F26" s="72">
        <v>8.1572512383221385E-2</v>
      </c>
      <c r="G26" s="76">
        <v>91452</v>
      </c>
      <c r="H26" s="52">
        <v>85756</v>
      </c>
      <c r="I26" s="53">
        <f t="shared" si="1"/>
        <v>6.6421008442558049E-2</v>
      </c>
      <c r="J26" s="54">
        <v>0.28617598496845442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7671</v>
      </c>
      <c r="D27" s="52">
        <v>5924</v>
      </c>
      <c r="E27" s="53">
        <f t="shared" si="0"/>
        <v>0.29490209318028349</v>
      </c>
      <c r="F27" s="72">
        <v>7.3107268759442734E-2</v>
      </c>
      <c r="G27" s="77">
        <v>97375</v>
      </c>
      <c r="H27" s="52">
        <v>88935</v>
      </c>
      <c r="I27" s="53">
        <f t="shared" si="1"/>
        <v>9.490077022544563E-2</v>
      </c>
      <c r="J27" s="54">
        <v>2.3332506610281412E-2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8593</v>
      </c>
      <c r="D28" s="52">
        <v>7191</v>
      </c>
      <c r="E28" s="53">
        <f t="shared" si="0"/>
        <v>0.19496592963426496</v>
      </c>
      <c r="F28" s="72">
        <v>2.5221914670229939E-2</v>
      </c>
      <c r="G28" s="76">
        <v>73552</v>
      </c>
      <c r="H28" s="52">
        <v>67491</v>
      </c>
      <c r="I28" s="53">
        <f t="shared" si="1"/>
        <v>8.9804566534797292E-2</v>
      </c>
      <c r="J28" s="54">
        <v>7.8990837262386204E-2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5039</v>
      </c>
      <c r="D29" s="55">
        <v>4900</v>
      </c>
      <c r="E29" s="53">
        <f t="shared" si="0"/>
        <v>2.8367346938775517E-2</v>
      </c>
      <c r="F29" s="72">
        <v>-0.23962577335144108</v>
      </c>
      <c r="G29" s="77">
        <v>53867</v>
      </c>
      <c r="H29" s="55">
        <v>54939</v>
      </c>
      <c r="I29" s="53">
        <f t="shared" si="1"/>
        <v>-1.9512550283041219E-2</v>
      </c>
      <c r="J29" s="54">
        <v>-0.11843453271318649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7305</v>
      </c>
      <c r="D30" s="57">
        <v>5965</v>
      </c>
      <c r="E30" s="53">
        <f t="shared" si="0"/>
        <v>0.22464375523889357</v>
      </c>
      <c r="F30" s="73">
        <v>0.10277467467769696</v>
      </c>
      <c r="G30" s="78">
        <v>83526</v>
      </c>
      <c r="H30" s="57">
        <v>83205</v>
      </c>
      <c r="I30" s="53">
        <f t="shared" si="1"/>
        <v>3.8579412294934556E-3</v>
      </c>
      <c r="J30" s="58">
        <v>1.9432761570926882E-2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355502</v>
      </c>
      <c r="D31" s="19">
        <v>330025</v>
      </c>
      <c r="E31" s="12">
        <f t="shared" si="0"/>
        <v>7.7197182031664369E-2</v>
      </c>
      <c r="F31" s="74">
        <v>2.4327866056126579E-2</v>
      </c>
      <c r="G31" s="79">
        <v>4950868</v>
      </c>
      <c r="H31" s="19">
        <v>4833293</v>
      </c>
      <c r="I31" s="12">
        <f t="shared" si="1"/>
        <v>2.4326065065784386E-2</v>
      </c>
      <c r="J31" s="47">
        <v>6.0422201938985953E-2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VLOOKUP("&lt;T10Titel2&gt;",Uebersetzungen!$B$4:$E$315,Uebersetzungen!$B$2+1,FALSE)</f>
        <v>Hotel- und Kurbetriebe: Logiernächte im Oktober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VLOOKUP("&lt;T10SpaltenTitel_1&gt;",Uebersetzungen!$B$4:$E$315,Uebersetzungen!$B$2+1,FALSE)</f>
        <v>Oktober 2025</v>
      </c>
      <c r="D39" s="21" t="str">
        <f>VLOOKUP("&lt;T10SpaltenTitel_2&gt;",Uebersetzungen!$B$4:$E$315,Uebersetzungen!$B$2+1,FALSE)</f>
        <v>Oktober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VLOOKUP("&lt;T10SpaltenTitel_5&gt;",Uebersetzungen!$B$4:$E$315,Uebersetzungen!$B$2+1,FALSE)</f>
        <v>Januar-Oktober 25</v>
      </c>
      <c r="H39" s="22" t="str">
        <f>VLOOKUP("&lt;T10SpaltenTitel_6&gt;",Uebersetzungen!$B$4:$E$315,Uebersetzungen!$B$2+1,FALSE)</f>
        <v>Januar-Oktober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276010</v>
      </c>
      <c r="D40" s="17">
        <v>255469</v>
      </c>
      <c r="E40" s="10">
        <f>C40/D40-1</f>
        <v>8.0405058930829165E-2</v>
      </c>
      <c r="F40" s="80">
        <v>-5.7750303318305551E-2</v>
      </c>
      <c r="G40" s="83">
        <v>3113851</v>
      </c>
      <c r="H40" s="17">
        <v>3071954</v>
      </c>
      <c r="I40" s="10">
        <f>G40/H40-1</f>
        <v>1.3638550577254716E-2</v>
      </c>
      <c r="J40" s="44">
        <v>-4.388883082212669E-2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29398</v>
      </c>
      <c r="D41" s="17">
        <v>25414</v>
      </c>
      <c r="E41" s="10">
        <f t="shared" ref="E41:E74" si="2">C41/D41-1</f>
        <v>0.15676398835287642</v>
      </c>
      <c r="F41" s="80">
        <v>0.25472688627303697</v>
      </c>
      <c r="G41" s="83">
        <v>661782</v>
      </c>
      <c r="H41" s="17">
        <v>673947</v>
      </c>
      <c r="I41" s="10">
        <f t="shared" ref="I41:I74" si="3">G41/H41-1</f>
        <v>-1.8050380816295619E-2</v>
      </c>
      <c r="J41" s="44">
        <v>0.12646352324070809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6407</v>
      </c>
      <c r="D42" s="17">
        <v>6082</v>
      </c>
      <c r="E42" s="10">
        <f t="shared" si="2"/>
        <v>5.3436369615258217E-2</v>
      </c>
      <c r="F42" s="80">
        <v>0.83277075347559926</v>
      </c>
      <c r="G42" s="83">
        <v>153495</v>
      </c>
      <c r="H42" s="17">
        <v>132258</v>
      </c>
      <c r="I42" s="10">
        <f t="shared" si="3"/>
        <v>0.16057251735244749</v>
      </c>
      <c r="J42" s="44">
        <v>0.95054972983688568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6309</v>
      </c>
      <c r="D43" s="17">
        <v>5995</v>
      </c>
      <c r="E43" s="10">
        <f t="shared" si="2"/>
        <v>5.2376980817347762E-2</v>
      </c>
      <c r="F43" s="80">
        <v>1.0165569264207632</v>
      </c>
      <c r="G43" s="83">
        <v>159410</v>
      </c>
      <c r="H43" s="17">
        <v>142982</v>
      </c>
      <c r="I43" s="10">
        <f t="shared" si="3"/>
        <v>0.11489558126197696</v>
      </c>
      <c r="J43" s="44">
        <v>0.59537949435447235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1150</v>
      </c>
      <c r="D44" s="17">
        <v>2940</v>
      </c>
      <c r="E44" s="10">
        <f t="shared" si="2"/>
        <v>-0.608843537414966</v>
      </c>
      <c r="F44" s="80">
        <v>-7.8230201987816494E-2</v>
      </c>
      <c r="G44" s="83">
        <v>80818</v>
      </c>
      <c r="H44" s="17">
        <v>97281</v>
      </c>
      <c r="I44" s="10">
        <f t="shared" si="3"/>
        <v>-0.16923140181535967</v>
      </c>
      <c r="J44" s="44">
        <v>-0.28914713136238746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5343</v>
      </c>
      <c r="D45" s="17">
        <v>5051</v>
      </c>
      <c r="E45" s="10">
        <f t="shared" si="2"/>
        <v>5.7810334587210521E-2</v>
      </c>
      <c r="F45" s="80">
        <v>0.61997453156267057</v>
      </c>
      <c r="G45" s="83">
        <v>99462</v>
      </c>
      <c r="H45" s="17">
        <v>93733</v>
      </c>
      <c r="I45" s="10">
        <f t="shared" si="3"/>
        <v>6.1120416502192354E-2</v>
      </c>
      <c r="J45" s="44">
        <v>0.31897772661931567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3143</v>
      </c>
      <c r="D46" s="17">
        <v>4113</v>
      </c>
      <c r="E46" s="10">
        <f t="shared" si="2"/>
        <v>-0.23583758813518119</v>
      </c>
      <c r="F46" s="80">
        <v>0.17945061543080154</v>
      </c>
      <c r="G46" s="83">
        <v>45197</v>
      </c>
      <c r="H46" s="17">
        <v>45628</v>
      </c>
      <c r="I46" s="10">
        <f t="shared" si="3"/>
        <v>-9.4459542386253759E-3</v>
      </c>
      <c r="J46" s="44">
        <v>0.22009621043197503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4723</v>
      </c>
      <c r="D47" s="17">
        <v>3278</v>
      </c>
      <c r="E47" s="10">
        <f t="shared" si="2"/>
        <v>0.44081757169005487</v>
      </c>
      <c r="F47" s="80">
        <v>0.37536400698893413</v>
      </c>
      <c r="G47" s="83">
        <v>90559</v>
      </c>
      <c r="H47" s="17">
        <v>85461</v>
      </c>
      <c r="I47" s="10">
        <f t="shared" si="3"/>
        <v>5.9652941107639634E-2</v>
      </c>
      <c r="J47" s="44">
        <v>0.28800334520463777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1608</v>
      </c>
      <c r="D48" s="17">
        <v>2290</v>
      </c>
      <c r="E48" s="10">
        <f t="shared" si="2"/>
        <v>-0.29781659388646287</v>
      </c>
      <c r="F48" s="80">
        <v>6.0825966486343974E-2</v>
      </c>
      <c r="G48" s="83">
        <v>59312</v>
      </c>
      <c r="H48" s="17">
        <v>56293</v>
      </c>
      <c r="I48" s="10">
        <f t="shared" si="3"/>
        <v>5.3630113868509355E-2</v>
      </c>
      <c r="J48" s="44">
        <v>0.31051336099658422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1504</v>
      </c>
      <c r="D49" s="17">
        <v>1559</v>
      </c>
      <c r="E49" s="10">
        <f t="shared" si="2"/>
        <v>-3.527902501603597E-2</v>
      </c>
      <c r="F49" s="80">
        <v>1.1841417368573919</v>
      </c>
      <c r="G49" s="83">
        <v>24521</v>
      </c>
      <c r="H49" s="17">
        <v>22885</v>
      </c>
      <c r="I49" s="10">
        <f t="shared" si="3"/>
        <v>7.1487874153375541E-2</v>
      </c>
      <c r="J49" s="44">
        <v>1.0505251538667379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1536</v>
      </c>
      <c r="D50" s="17">
        <v>1679</v>
      </c>
      <c r="E50" s="10">
        <f t="shared" si="2"/>
        <v>-8.5169743895175731E-2</v>
      </c>
      <c r="F50" s="80">
        <v>1.2661552080259666</v>
      </c>
      <c r="G50" s="83">
        <v>16639</v>
      </c>
      <c r="H50" s="17">
        <v>17105</v>
      </c>
      <c r="I50" s="10">
        <f t="shared" si="3"/>
        <v>-2.7243496053785399E-2</v>
      </c>
      <c r="J50" s="44">
        <v>1.6841426036457499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1580</v>
      </c>
      <c r="D51" s="17">
        <v>1129</v>
      </c>
      <c r="E51" s="10">
        <f t="shared" si="2"/>
        <v>0.3994685562444642</v>
      </c>
      <c r="F51" s="80">
        <v>2.1225296442687749</v>
      </c>
      <c r="G51" s="83">
        <v>37124</v>
      </c>
      <c r="H51" s="17">
        <v>35105</v>
      </c>
      <c r="I51" s="10">
        <f t="shared" si="3"/>
        <v>5.7513174761429919E-2</v>
      </c>
      <c r="J51" s="44">
        <v>1.0196502986714835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736</v>
      </c>
      <c r="D52" s="17">
        <v>679</v>
      </c>
      <c r="E52" s="10">
        <f t="shared" si="2"/>
        <v>8.3946980854197273E-2</v>
      </c>
      <c r="F52" s="80">
        <v>0.66893424036281179</v>
      </c>
      <c r="G52" s="83">
        <v>16333</v>
      </c>
      <c r="H52" s="17">
        <v>13061</v>
      </c>
      <c r="I52" s="10">
        <f t="shared" si="3"/>
        <v>0.25051680575759905</v>
      </c>
      <c r="J52" s="44">
        <v>1.0185629186543737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711</v>
      </c>
      <c r="D53" s="17">
        <v>494</v>
      </c>
      <c r="E53" s="10">
        <f t="shared" si="2"/>
        <v>0.43927125506072873</v>
      </c>
      <c r="F53" s="80">
        <v>1.2715654952076676</v>
      </c>
      <c r="G53" s="83">
        <v>20496</v>
      </c>
      <c r="H53" s="17">
        <v>15995</v>
      </c>
      <c r="I53" s="10">
        <f t="shared" si="3"/>
        <v>0.28140043763676159</v>
      </c>
      <c r="J53" s="44">
        <v>1.7346230820547031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1215</v>
      </c>
      <c r="D54" s="17">
        <v>1212</v>
      </c>
      <c r="E54" s="10">
        <f t="shared" si="2"/>
        <v>2.4752475247524774E-3</v>
      </c>
      <c r="F54" s="80">
        <v>1.5829081632653064</v>
      </c>
      <c r="G54" s="83">
        <v>14541</v>
      </c>
      <c r="H54" s="17">
        <v>14130</v>
      </c>
      <c r="I54" s="10">
        <f t="shared" si="3"/>
        <v>2.9087048832271867E-2</v>
      </c>
      <c r="J54" s="44">
        <v>1.2796538425359798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675</v>
      </c>
      <c r="D55" s="17">
        <v>631</v>
      </c>
      <c r="E55" s="10">
        <f t="shared" si="2"/>
        <v>6.9730586370839953E-2</v>
      </c>
      <c r="F55" s="80">
        <v>0.31220839813374801</v>
      </c>
      <c r="G55" s="83">
        <v>31099</v>
      </c>
      <c r="H55" s="17">
        <v>26941</v>
      </c>
      <c r="I55" s="10">
        <f t="shared" si="3"/>
        <v>0.15433725548420618</v>
      </c>
      <c r="J55" s="44">
        <v>-0.1572269435892989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1526</v>
      </c>
      <c r="D56" s="17">
        <v>1237</v>
      </c>
      <c r="E56" s="10">
        <f t="shared" si="2"/>
        <v>0.23362974939369452</v>
      </c>
      <c r="F56" s="80">
        <v>1.76349148859109</v>
      </c>
      <c r="G56" s="83">
        <v>30708</v>
      </c>
      <c r="H56" s="17">
        <v>24991</v>
      </c>
      <c r="I56" s="10">
        <f t="shared" si="3"/>
        <v>0.22876235444760118</v>
      </c>
      <c r="J56" s="44">
        <v>1.0546240415367527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642</v>
      </c>
      <c r="D57" s="17">
        <v>500</v>
      </c>
      <c r="E57" s="10">
        <f t="shared" si="2"/>
        <v>0.28400000000000003</v>
      </c>
      <c r="F57" s="80">
        <v>0.51844843897824022</v>
      </c>
      <c r="G57" s="83">
        <v>15418</v>
      </c>
      <c r="H57" s="17">
        <v>11651</v>
      </c>
      <c r="I57" s="10">
        <f t="shared" si="3"/>
        <v>0.32331988670500378</v>
      </c>
      <c r="J57" s="44">
        <v>1.4129835983473145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486</v>
      </c>
      <c r="D58" s="17">
        <v>450</v>
      </c>
      <c r="E58" s="10">
        <f t="shared" si="2"/>
        <v>8.0000000000000071E-2</v>
      </c>
      <c r="F58" s="80">
        <v>0.26694473409801867</v>
      </c>
      <c r="G58" s="83">
        <v>20503</v>
      </c>
      <c r="H58" s="17">
        <v>19683</v>
      </c>
      <c r="I58" s="10">
        <f t="shared" si="3"/>
        <v>4.166031600873854E-2</v>
      </c>
      <c r="J58" s="44">
        <v>0.296329080310062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717</v>
      </c>
      <c r="D59" s="17">
        <v>276</v>
      </c>
      <c r="E59" s="10">
        <f t="shared" si="2"/>
        <v>1.597826086956522</v>
      </c>
      <c r="F59" s="80">
        <v>1.139021479713604</v>
      </c>
      <c r="G59" s="83">
        <v>15784</v>
      </c>
      <c r="H59" s="17">
        <v>14394</v>
      </c>
      <c r="I59" s="10">
        <f t="shared" si="3"/>
        <v>9.6568014450465478E-2</v>
      </c>
      <c r="J59" s="44">
        <v>0.33660767211448905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413</v>
      </c>
      <c r="D60" s="17">
        <v>950</v>
      </c>
      <c r="E60" s="10">
        <f t="shared" si="2"/>
        <v>-0.56526315789473691</v>
      </c>
      <c r="F60" s="80">
        <v>-0.11335337054529848</v>
      </c>
      <c r="G60" s="83">
        <v>14015</v>
      </c>
      <c r="H60" s="17">
        <v>14168</v>
      </c>
      <c r="I60" s="10">
        <f t="shared" si="3"/>
        <v>-1.0798983625070591E-2</v>
      </c>
      <c r="J60" s="44">
        <v>0.27853089821014798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627</v>
      </c>
      <c r="D61" s="17">
        <v>474</v>
      </c>
      <c r="E61" s="10">
        <f t="shared" si="2"/>
        <v>0.32278481012658222</v>
      </c>
      <c r="F61" s="80">
        <v>0.89540507859733975</v>
      </c>
      <c r="G61" s="83">
        <v>15689</v>
      </c>
      <c r="H61" s="17">
        <v>13708</v>
      </c>
      <c r="I61" s="10">
        <f t="shared" si="3"/>
        <v>0.14451415231981324</v>
      </c>
      <c r="J61" s="44">
        <v>0.70915310368869422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210</v>
      </c>
      <c r="D62" s="17">
        <v>221</v>
      </c>
      <c r="E62" s="10">
        <f t="shared" si="2"/>
        <v>-4.9773755656108642E-2</v>
      </c>
      <c r="F62" s="80">
        <v>8.0246913580246826E-2</v>
      </c>
      <c r="G62" s="83">
        <v>12606</v>
      </c>
      <c r="H62" s="17">
        <v>12917</v>
      </c>
      <c r="I62" s="10">
        <f t="shared" si="3"/>
        <v>-2.4076798018115686E-2</v>
      </c>
      <c r="J62" s="44">
        <v>6.0575466935890887E-2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183</v>
      </c>
      <c r="D63" s="17">
        <v>328</v>
      </c>
      <c r="E63" s="10">
        <f t="shared" si="2"/>
        <v>-0.44207317073170727</v>
      </c>
      <c r="F63" s="80">
        <v>-6.8228105906313674E-2</v>
      </c>
      <c r="G63" s="83">
        <v>13137</v>
      </c>
      <c r="H63" s="17">
        <v>11236</v>
      </c>
      <c r="I63" s="10">
        <f t="shared" si="3"/>
        <v>0.16918832324670707</v>
      </c>
      <c r="J63" s="44">
        <v>0.75164671057894883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267</v>
      </c>
      <c r="D66" s="17">
        <v>216</v>
      </c>
      <c r="E66" s="10">
        <f t="shared" si="2"/>
        <v>0.23611111111111116</v>
      </c>
      <c r="F66" s="80">
        <v>0.71593830334190245</v>
      </c>
      <c r="G66" s="83">
        <v>14646</v>
      </c>
      <c r="H66" s="17">
        <v>14246</v>
      </c>
      <c r="I66" s="10">
        <f t="shared" si="3"/>
        <v>2.807805699845578E-2</v>
      </c>
      <c r="J66" s="44">
        <v>0.99151505262299078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2257</v>
      </c>
      <c r="D67" s="17">
        <v>1781</v>
      </c>
      <c r="E67" s="10">
        <f t="shared" si="2"/>
        <v>0.26726558113419419</v>
      </c>
      <c r="F67" s="80">
        <v>0.464253276242377</v>
      </c>
      <c r="G67" s="83">
        <v>46562</v>
      </c>
      <c r="H67" s="17">
        <v>39177</v>
      </c>
      <c r="I67" s="10">
        <f t="shared" si="3"/>
        <v>0.18850345866197005</v>
      </c>
      <c r="J67" s="44">
        <v>0.49032737142637628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2630</v>
      </c>
      <c r="D68" s="17">
        <v>2743</v>
      </c>
      <c r="E68" s="10">
        <f t="shared" si="2"/>
        <v>-4.1195771053590957E-2</v>
      </c>
      <c r="F68" s="80">
        <v>0.35162914996402517</v>
      </c>
      <c r="G68" s="83">
        <v>30483</v>
      </c>
      <c r="H68" s="17">
        <v>33614</v>
      </c>
      <c r="I68" s="10">
        <f t="shared" si="3"/>
        <v>-9.314571309573394E-2</v>
      </c>
      <c r="J68" s="44">
        <v>0.42659915011512739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1306</v>
      </c>
      <c r="D69" s="17">
        <v>821</v>
      </c>
      <c r="E69" s="10">
        <f t="shared" si="2"/>
        <v>0.59074299634591965</v>
      </c>
      <c r="F69" s="80">
        <v>0.74973204715969999</v>
      </c>
      <c r="G69" s="83">
        <v>44062</v>
      </c>
      <c r="H69" s="17">
        <v>36326</v>
      </c>
      <c r="I69" s="10">
        <f t="shared" si="3"/>
        <v>0.21296041402851951</v>
      </c>
      <c r="J69" s="44">
        <v>0.27914673231455245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1454</v>
      </c>
      <c r="D70" s="17">
        <v>1419</v>
      </c>
      <c r="E70" s="10">
        <f t="shared" si="2"/>
        <v>2.4665257223396742E-2</v>
      </c>
      <c r="F70" s="80">
        <v>1.602935911206588</v>
      </c>
      <c r="G70" s="83">
        <v>20366</v>
      </c>
      <c r="H70" s="17">
        <v>15164</v>
      </c>
      <c r="I70" s="10">
        <f t="shared" si="3"/>
        <v>0.34304932735426008</v>
      </c>
      <c r="J70" s="44">
        <v>1.6194886042084682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144</v>
      </c>
      <c r="D71" s="17">
        <v>123</v>
      </c>
      <c r="E71" s="10">
        <f t="shared" si="2"/>
        <v>0.1707317073170731</v>
      </c>
      <c r="F71" s="80">
        <v>4.1841004184099972E-3</v>
      </c>
      <c r="G71" s="83">
        <v>5774</v>
      </c>
      <c r="H71" s="17">
        <v>6638</v>
      </c>
      <c r="I71" s="10">
        <f t="shared" si="3"/>
        <v>-0.13015968665260624</v>
      </c>
      <c r="J71" s="44">
        <v>0.34011047672097683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592</v>
      </c>
      <c r="D72" s="17">
        <v>471</v>
      </c>
      <c r="E72" s="10">
        <f t="shared" si="2"/>
        <v>0.256900212314225</v>
      </c>
      <c r="F72" s="80">
        <v>0.77245508982035926</v>
      </c>
      <c r="G72" s="83">
        <v>26476</v>
      </c>
      <c r="H72" s="17">
        <v>20621</v>
      </c>
      <c r="I72" s="10">
        <f t="shared" si="3"/>
        <v>0.28393385383832026</v>
      </c>
      <c r="J72" s="44">
        <v>0.9206383750453393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355502</v>
      </c>
      <c r="D74" s="40">
        <v>330025</v>
      </c>
      <c r="E74" s="65">
        <f t="shared" si="2"/>
        <v>7.7197182031664369E-2</v>
      </c>
      <c r="F74" s="82">
        <v>2.4327866056126579E-2</v>
      </c>
      <c r="G74" s="79">
        <v>4950868</v>
      </c>
      <c r="H74" s="40">
        <v>4833293</v>
      </c>
      <c r="I74" s="65">
        <f t="shared" si="3"/>
        <v>2.4326065065784386E-2</v>
      </c>
      <c r="J74" s="66">
        <v>6.0422201938985953E-2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VLOOKUP("&lt;T10Titel3&gt;",Uebersetzungen!$B$4:$E$315,Uebersetzungen!$B$2+1,FALSE)</f>
        <v>Hotel- und Kurbetriebe: Logiernächte im Oktober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VLOOKUP("&lt;T10SpaltenTitel_1&gt;",Uebersetzungen!$B$4:$E$315,Uebersetzungen!$B$2+1,FALSE)</f>
        <v>Oktober 2025</v>
      </c>
      <c r="D82" s="21" t="str">
        <f>VLOOKUP("&lt;T10SpaltenTitel_2&gt;",Uebersetzungen!$B$4:$E$315,Uebersetzungen!$B$2+1,FALSE)</f>
        <v>Oktober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VLOOKUP("&lt;T10SpaltenTitel_5&gt;",Uebersetzungen!$B$4:$E$315,Uebersetzungen!$B$2+1,FALSE)</f>
        <v>Januar-Oktober 25</v>
      </c>
      <c r="H82" s="22" t="str">
        <f>VLOOKUP("&lt;T10SpaltenTitel_6&gt;",Uebersetzungen!$B$4:$E$315,Uebersetzungen!$B$2+1,FALSE)</f>
        <v>Januar-Oktober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101687</v>
      </c>
      <c r="D83" s="17">
        <v>104934</v>
      </c>
      <c r="E83" s="10">
        <f>C83/D83-1</f>
        <v>-3.0943259572683735E-2</v>
      </c>
      <c r="F83" s="80">
        <v>0.11202607088568839</v>
      </c>
      <c r="G83" s="83">
        <v>1072511</v>
      </c>
      <c r="H83" s="17">
        <v>1037969</v>
      </c>
      <c r="I83" s="10">
        <f>G83/H83-1</f>
        <v>3.3278450512491231E-2</v>
      </c>
      <c r="J83" s="44">
        <v>0.29509855206448066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176552</v>
      </c>
      <c r="D84" s="17">
        <v>169113</v>
      </c>
      <c r="E84" s="10">
        <f t="shared" ref="E84:E96" si="4">C84/D84-1</f>
        <v>4.3988339157841283E-2</v>
      </c>
      <c r="F84" s="80">
        <v>0.34887430818926668</v>
      </c>
      <c r="G84" s="83">
        <v>1612161</v>
      </c>
      <c r="H84" s="17">
        <v>1488224</v>
      </c>
      <c r="I84" s="10">
        <f t="shared" ref="I84:I96" si="5">G84/H84-1</f>
        <v>8.3278458081579076E-2</v>
      </c>
      <c r="J84" s="44">
        <v>0.4404300487302788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494902</v>
      </c>
      <c r="D85" s="17">
        <v>477693</v>
      </c>
      <c r="E85" s="10">
        <f t="shared" si="4"/>
        <v>3.6025229593064978E-2</v>
      </c>
      <c r="F85" s="80">
        <v>0.19066774321136881</v>
      </c>
      <c r="G85" s="83">
        <v>5408333</v>
      </c>
      <c r="H85" s="17">
        <v>5475799</v>
      </c>
      <c r="I85" s="10">
        <f t="shared" si="5"/>
        <v>-1.2320759034434969E-2</v>
      </c>
      <c r="J85" s="44">
        <v>0.23487237484763712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46650</v>
      </c>
      <c r="D86" s="17">
        <v>43040</v>
      </c>
      <c r="E86" s="10">
        <f t="shared" si="4"/>
        <v>8.3875464684014966E-2</v>
      </c>
      <c r="F86" s="80">
        <v>0.11719936201091108</v>
      </c>
      <c r="G86" s="83">
        <v>444925</v>
      </c>
      <c r="H86" s="17">
        <v>419910</v>
      </c>
      <c r="I86" s="10">
        <f t="shared" si="5"/>
        <v>5.9572289300088066E-2</v>
      </c>
      <c r="J86" s="44">
        <v>0.17699608536538269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315999</v>
      </c>
      <c r="D87" s="17">
        <v>310355</v>
      </c>
      <c r="E87" s="10">
        <f t="shared" si="4"/>
        <v>1.818562613780994E-2</v>
      </c>
      <c r="F87" s="80">
        <v>0.38859276224492234</v>
      </c>
      <c r="G87" s="83">
        <v>3224930</v>
      </c>
      <c r="H87" s="17">
        <v>3187308</v>
      </c>
      <c r="I87" s="10">
        <f t="shared" si="5"/>
        <v>1.1803691390979365E-2</v>
      </c>
      <c r="J87" s="44">
        <v>0.49680507563926346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355502</v>
      </c>
      <c r="D88" s="62">
        <v>330025</v>
      </c>
      <c r="E88" s="63">
        <f t="shared" si="4"/>
        <v>7.7197182031664369E-2</v>
      </c>
      <c r="F88" s="85">
        <v>2.4327866056126579E-2</v>
      </c>
      <c r="G88" s="87">
        <v>4950868</v>
      </c>
      <c r="H88" s="62">
        <v>4833293</v>
      </c>
      <c r="I88" s="63">
        <f t="shared" si="5"/>
        <v>2.4326065065784386E-2</v>
      </c>
      <c r="J88" s="64">
        <v>6.0422201938985953E-2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51883</v>
      </c>
      <c r="D89" s="17">
        <v>54930</v>
      </c>
      <c r="E89" s="10">
        <f t="shared" si="4"/>
        <v>-5.5470598944110661E-2</v>
      </c>
      <c r="F89" s="80">
        <v>-4.570117341887725E-3</v>
      </c>
      <c r="G89" s="83">
        <v>545675</v>
      </c>
      <c r="H89" s="17">
        <v>540217</v>
      </c>
      <c r="I89" s="10">
        <f t="shared" si="5"/>
        <v>1.0103347358561443E-2</v>
      </c>
      <c r="J89" s="44">
        <v>0.10580015409363397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349568</v>
      </c>
      <c r="D90" s="17">
        <v>339893</v>
      </c>
      <c r="E90" s="10">
        <f t="shared" si="4"/>
        <v>2.846484040565711E-2</v>
      </c>
      <c r="F90" s="80">
        <v>0.19162594791681586</v>
      </c>
      <c r="G90" s="83">
        <v>3672243</v>
      </c>
      <c r="H90" s="17">
        <v>3561109</v>
      </c>
      <c r="I90" s="10">
        <f t="shared" si="5"/>
        <v>3.1207694007681308E-2</v>
      </c>
      <c r="J90" s="44">
        <v>0.27909683069696145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176808</v>
      </c>
      <c r="D91" s="17">
        <v>180226</v>
      </c>
      <c r="E91" s="10">
        <f t="shared" si="4"/>
        <v>-1.8965077180872925E-2</v>
      </c>
      <c r="F91" s="80">
        <v>-1.2780593404082552E-4</v>
      </c>
      <c r="G91" s="83">
        <v>1781618</v>
      </c>
      <c r="H91" s="17">
        <v>1782842</v>
      </c>
      <c r="I91" s="10">
        <f t="shared" si="5"/>
        <v>-6.8654429276404638E-4</v>
      </c>
      <c r="J91" s="44">
        <v>8.169166707547415E-2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252495</v>
      </c>
      <c r="D92" s="17">
        <v>228846</v>
      </c>
      <c r="E92" s="10">
        <f t="shared" si="4"/>
        <v>0.10334023753965549</v>
      </c>
      <c r="F92" s="80">
        <v>-3.4164108904073953E-2</v>
      </c>
      <c r="G92" s="83">
        <v>2310501</v>
      </c>
      <c r="H92" s="17">
        <v>2223069</v>
      </c>
      <c r="I92" s="10">
        <f t="shared" si="5"/>
        <v>3.9329413526975499E-2</v>
      </c>
      <c r="J92" s="44">
        <v>7.2885721602387044E-3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238994</v>
      </c>
      <c r="D93" s="17">
        <v>229155</v>
      </c>
      <c r="E93" s="10">
        <f t="shared" si="4"/>
        <v>4.2936004014749951E-2</v>
      </c>
      <c r="F93" s="80">
        <v>0.16664616442020619</v>
      </c>
      <c r="G93" s="83">
        <v>2669542</v>
      </c>
      <c r="H93" s="17">
        <v>2521273</v>
      </c>
      <c r="I93" s="10">
        <f t="shared" si="5"/>
        <v>5.8807197792543731E-2</v>
      </c>
      <c r="J93" s="44">
        <v>0.27167578841705664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261317</v>
      </c>
      <c r="D94" s="17">
        <v>247549</v>
      </c>
      <c r="E94" s="33">
        <f t="shared" si="4"/>
        <v>5.5617271732061102E-2</v>
      </c>
      <c r="F94" s="80">
        <v>3.7668942798100957E-2</v>
      </c>
      <c r="G94" s="83">
        <v>3962541</v>
      </c>
      <c r="H94" s="17">
        <v>3890125</v>
      </c>
      <c r="I94" s="33">
        <f t="shared" si="5"/>
        <v>1.8615340124032098E-2</v>
      </c>
      <c r="J94" s="44">
        <v>0.13356213172127473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657356</v>
      </c>
      <c r="D95" s="18">
        <v>621929</v>
      </c>
      <c r="E95" s="43">
        <f t="shared" si="4"/>
        <v>5.6963093857980596E-2</v>
      </c>
      <c r="F95" s="11">
        <v>0.37510841156607588</v>
      </c>
      <c r="G95" s="84">
        <v>6335350</v>
      </c>
      <c r="H95" s="18">
        <v>6140641</v>
      </c>
      <c r="I95" s="43">
        <f t="shared" si="5"/>
        <v>3.1708253258902364E-2</v>
      </c>
      <c r="J95" s="48">
        <v>0.47953543052219216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3479713</v>
      </c>
      <c r="D96" s="40">
        <v>3337688</v>
      </c>
      <c r="E96" s="41">
        <f t="shared" si="4"/>
        <v>4.2551910184534858E-2</v>
      </c>
      <c r="F96" s="86">
        <v>0.17050804373540207</v>
      </c>
      <c r="G96" s="79">
        <v>37991198</v>
      </c>
      <c r="H96" s="40">
        <v>37101779</v>
      </c>
      <c r="I96" s="41">
        <f t="shared" si="5"/>
        <v>2.3972408438959203E-2</v>
      </c>
      <c r="J96" s="45">
        <v>0.23707499282688471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VLOOKUP("&lt;T10Aktualisierung&gt;",Uebersetzungen!$B$4:$E$315,Uebersetzungen!$B$2+1,FALSE)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VLOOKUP("&lt;T10Legende_3&gt;",Uebersetzungen!$B$4:$E$315,Uebersetzungen!$B$2+1,FALSE)</f>
        <v>Daten des November 2025 erscheinen am 15. Januar 2026.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200-000000000000}"/>
    <hyperlink ref="E76" location="Länder_Pajais_Paesi!A1" display="Länder / Pajais / Paese" xr:uid="{00000000-0004-0000-02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0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VLOOKUP("&lt;T9Titel1&gt;",Uebersetzungen!$B$4:$E$315,Uebersetzungen!$B$2+1,FALSE)</f>
        <v>Hotel- und Kurbetriebe: Logiernächte im September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VLOOKUP("&lt;T9SpaltenTitel_1&gt;",Uebersetzungen!$B$4:$E$315,Uebersetzungen!$B$2+1,FALSE)</f>
        <v>September 2025</v>
      </c>
      <c r="D12" s="21" t="str">
        <f>VLOOKUP("&lt;T9SpaltenTitel_2&gt;",Uebersetzungen!$B$4:$E$315,Uebersetzungen!$B$2+1,FALSE)</f>
        <v>September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VLOOKUP("&lt;T9SpaltenTitel_5&gt;",Uebersetzungen!$B$4:$E$315,Uebersetzungen!$B$2+1,FALSE)</f>
        <v>Januar-September 25</v>
      </c>
      <c r="H12" s="22" t="str">
        <f>VLOOKUP("&lt;T9SpaltenTitel_6&gt;",Uebersetzungen!$B$4:$E$315,Uebersetzungen!$B$2+1,FALSE)</f>
        <v>Januar-September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21863</v>
      </c>
      <c r="D13" s="52">
        <v>19921</v>
      </c>
      <c r="E13" s="53">
        <f t="shared" ref="E13:E31" si="0">C13/D13-1</f>
        <v>9.7485066010742472E-2</v>
      </c>
      <c r="F13" s="72">
        <v>-2.439133228616297E-2</v>
      </c>
      <c r="G13" s="76">
        <v>342195</v>
      </c>
      <c r="H13" s="52">
        <v>355344</v>
      </c>
      <c r="I13" s="53">
        <f t="shared" ref="I13:I31" si="1">G13/H13-1</f>
        <v>-3.7003579629879768E-2</v>
      </c>
      <c r="J13" s="54">
        <v>4.8266291711468456E-2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5826</v>
      </c>
      <c r="D14" s="52">
        <v>5551</v>
      </c>
      <c r="E14" s="53">
        <f t="shared" si="0"/>
        <v>4.9540623311115084E-2</v>
      </c>
      <c r="F14" s="72">
        <v>-3.6164510472157074E-2</v>
      </c>
      <c r="G14" s="76">
        <v>52225</v>
      </c>
      <c r="H14" s="52">
        <v>48823</v>
      </c>
      <c r="I14" s="53">
        <f t="shared" si="1"/>
        <v>6.9680273641521406E-2</v>
      </c>
      <c r="J14" s="54">
        <v>2.0844980120644285E-2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5583</v>
      </c>
      <c r="D15" s="52">
        <v>4973</v>
      </c>
      <c r="E15" s="53">
        <f t="shared" si="0"/>
        <v>0.12266237683490844</v>
      </c>
      <c r="F15" s="72">
        <v>-0.1054318218234257</v>
      </c>
      <c r="G15" s="76">
        <v>46079</v>
      </c>
      <c r="H15" s="52">
        <v>45939</v>
      </c>
      <c r="I15" s="53">
        <f t="shared" si="1"/>
        <v>3.0475195367769548E-3</v>
      </c>
      <c r="J15" s="54">
        <v>-3.2108318839849104E-2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6009</v>
      </c>
      <c r="D16" s="52">
        <v>6016</v>
      </c>
      <c r="E16" s="53">
        <f t="shared" si="0"/>
        <v>-1.1635638297872175E-3</v>
      </c>
      <c r="F16" s="72">
        <v>4.9973789970295224E-2</v>
      </c>
      <c r="G16" s="76">
        <v>44519</v>
      </c>
      <c r="H16" s="52">
        <v>45795</v>
      </c>
      <c r="I16" s="53">
        <f t="shared" si="1"/>
        <v>-2.7863303854132493E-2</v>
      </c>
      <c r="J16" s="54">
        <v>0.16982867353373976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26324</v>
      </c>
      <c r="D17" s="52">
        <v>23824</v>
      </c>
      <c r="E17" s="53">
        <f t="shared" si="0"/>
        <v>0.10493619879113503</v>
      </c>
      <c r="F17" s="72">
        <v>0.26852869176352678</v>
      </c>
      <c r="G17" s="76">
        <v>205015</v>
      </c>
      <c r="H17" s="52">
        <v>193051</v>
      </c>
      <c r="I17" s="53">
        <f t="shared" si="1"/>
        <v>6.1973260951769138E-2</v>
      </c>
      <c r="J17" s="54">
        <v>0.39825347048400572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79130</v>
      </c>
      <c r="D18" s="52">
        <v>74844</v>
      </c>
      <c r="E18" s="53">
        <f t="shared" si="0"/>
        <v>5.72657794880016E-2</v>
      </c>
      <c r="F18" s="72">
        <v>4.6374780159475382E-2</v>
      </c>
      <c r="G18" s="76">
        <v>778790</v>
      </c>
      <c r="H18" s="52">
        <v>786578</v>
      </c>
      <c r="I18" s="53">
        <f t="shared" si="1"/>
        <v>-9.9011159732410592E-3</v>
      </c>
      <c r="J18" s="54">
        <v>5.460108808930042E-2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10134</v>
      </c>
      <c r="D19" s="52">
        <v>7916</v>
      </c>
      <c r="E19" s="53">
        <f t="shared" si="0"/>
        <v>0.28019201616978262</v>
      </c>
      <c r="F19" s="72">
        <v>-2.0263737963571726E-2</v>
      </c>
      <c r="G19" s="76">
        <v>113722</v>
      </c>
      <c r="H19" s="52">
        <v>113491</v>
      </c>
      <c r="I19" s="53">
        <f t="shared" si="1"/>
        <v>2.035403688398274E-3</v>
      </c>
      <c r="J19" s="54">
        <v>-2.8462049723535499E-3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47666</v>
      </c>
      <c r="D20" s="52">
        <v>45815</v>
      </c>
      <c r="E20" s="53">
        <f t="shared" si="0"/>
        <v>4.0401615191531182E-2</v>
      </c>
      <c r="F20" s="72">
        <v>-0.12962022912611426</v>
      </c>
      <c r="G20" s="76">
        <v>453650</v>
      </c>
      <c r="H20" s="52">
        <v>442407</v>
      </c>
      <c r="I20" s="53">
        <f t="shared" si="1"/>
        <v>2.5413250694496181E-2</v>
      </c>
      <c r="J20" s="54">
        <v>1.7158852118354107E-2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138369</v>
      </c>
      <c r="D21" s="52">
        <v>133708</v>
      </c>
      <c r="E21" s="53">
        <f t="shared" si="0"/>
        <v>3.4859544679450849E-2</v>
      </c>
      <c r="F21" s="72">
        <v>-4.0464840829878779E-2</v>
      </c>
      <c r="G21" s="76">
        <v>1428291</v>
      </c>
      <c r="H21" s="52">
        <v>1376348</v>
      </c>
      <c r="I21" s="53">
        <f t="shared" si="1"/>
        <v>3.773972861514685E-2</v>
      </c>
      <c r="J21" s="54">
        <v>9.7133699984007116E-2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31275</v>
      </c>
      <c r="D22" s="52">
        <v>28861</v>
      </c>
      <c r="E22" s="53">
        <f t="shared" si="0"/>
        <v>8.3642285437095065E-2</v>
      </c>
      <c r="F22" s="72">
        <v>-0.10690318859120573</v>
      </c>
      <c r="G22" s="76">
        <v>406249</v>
      </c>
      <c r="H22" s="52">
        <v>390492</v>
      </c>
      <c r="I22" s="53">
        <f t="shared" si="1"/>
        <v>4.0351658932833434E-2</v>
      </c>
      <c r="J22" s="54">
        <v>-3.2791600063044268E-2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25476</v>
      </c>
      <c r="D23" s="52">
        <v>25238</v>
      </c>
      <c r="E23" s="53">
        <f t="shared" si="0"/>
        <v>9.4302242649972889E-3</v>
      </c>
      <c r="F23" s="72">
        <v>-5.9593066178424858E-2</v>
      </c>
      <c r="G23" s="76">
        <v>259078</v>
      </c>
      <c r="H23" s="52">
        <v>265712</v>
      </c>
      <c r="I23" s="53">
        <f t="shared" si="1"/>
        <v>-2.4966881435539268E-2</v>
      </c>
      <c r="J23" s="54">
        <v>-2.8103000569457803E-2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6676</v>
      </c>
      <c r="D24" s="52">
        <v>5830</v>
      </c>
      <c r="E24" s="53">
        <f t="shared" si="0"/>
        <v>0.14511149228130371</v>
      </c>
      <c r="F24" s="72">
        <v>0.10077826144308144</v>
      </c>
      <c r="G24" s="76">
        <v>69727</v>
      </c>
      <c r="H24" s="52">
        <v>65895</v>
      </c>
      <c r="I24" s="53">
        <f t="shared" si="1"/>
        <v>5.8153122391683798E-2</v>
      </c>
      <c r="J24" s="54">
        <v>0.17776524083320377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2317</v>
      </c>
      <c r="D25" s="52">
        <v>1981</v>
      </c>
      <c r="E25" s="53">
        <f t="shared" si="0"/>
        <v>0.16961130742049479</v>
      </c>
      <c r="F25" s="72">
        <v>0.13891073535194653</v>
      </c>
      <c r="G25" s="76">
        <v>28112</v>
      </c>
      <c r="H25" s="52">
        <v>20634</v>
      </c>
      <c r="I25" s="53">
        <f t="shared" si="1"/>
        <v>0.36241155374624401</v>
      </c>
      <c r="J25" s="54">
        <v>0.39235866905726535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8263</v>
      </c>
      <c r="D26" s="52">
        <v>7430</v>
      </c>
      <c r="E26" s="53">
        <f t="shared" si="0"/>
        <v>0.11211305518169579</v>
      </c>
      <c r="F26" s="72">
        <v>0.26164228784316124</v>
      </c>
      <c r="G26" s="76">
        <v>88002</v>
      </c>
      <c r="H26" s="52">
        <v>82169</v>
      </c>
      <c r="I26" s="53">
        <f t="shared" si="1"/>
        <v>7.0987842130243672E-2</v>
      </c>
      <c r="J26" s="54">
        <v>0.29578584680625486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9530</v>
      </c>
      <c r="D27" s="52">
        <v>7680</v>
      </c>
      <c r="E27" s="53">
        <f t="shared" si="0"/>
        <v>0.24088541666666674</v>
      </c>
      <c r="F27" s="72">
        <v>4.988322390164357E-2</v>
      </c>
      <c r="G27" s="77">
        <v>89704</v>
      </c>
      <c r="H27" s="52">
        <v>83011</v>
      </c>
      <c r="I27" s="53">
        <f t="shared" si="1"/>
        <v>8.0627868595728236E-2</v>
      </c>
      <c r="J27" s="54">
        <v>1.9289506217729624E-2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9286</v>
      </c>
      <c r="D28" s="52">
        <v>8103</v>
      </c>
      <c r="E28" s="53">
        <f t="shared" si="0"/>
        <v>0.14599531037887203</v>
      </c>
      <c r="F28" s="72">
        <v>-9.0214366892659714E-2</v>
      </c>
      <c r="G28" s="76">
        <v>64959</v>
      </c>
      <c r="H28" s="52">
        <v>60300</v>
      </c>
      <c r="I28" s="53">
        <f t="shared" si="1"/>
        <v>7.7263681592039779E-2</v>
      </c>
      <c r="J28" s="54">
        <v>8.6528908202281984E-2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4510</v>
      </c>
      <c r="D29" s="55">
        <v>4683</v>
      </c>
      <c r="E29" s="53">
        <f t="shared" si="0"/>
        <v>-3.6942131112534748E-2</v>
      </c>
      <c r="F29" s="72">
        <v>-0.24725439797042426</v>
      </c>
      <c r="G29" s="77">
        <v>48828</v>
      </c>
      <c r="H29" s="55">
        <v>50039</v>
      </c>
      <c r="I29" s="53">
        <f t="shared" si="1"/>
        <v>-2.4201123123963275E-2</v>
      </c>
      <c r="J29" s="54">
        <v>-0.10369184680451138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9815</v>
      </c>
      <c r="D30" s="57">
        <v>8776</v>
      </c>
      <c r="E30" s="53">
        <f t="shared" si="0"/>
        <v>0.1183910665451231</v>
      </c>
      <c r="F30" s="73">
        <v>1.4742980025640007E-2</v>
      </c>
      <c r="G30" s="78">
        <v>76221</v>
      </c>
      <c r="H30" s="57">
        <v>77240</v>
      </c>
      <c r="I30" s="53">
        <f t="shared" si="1"/>
        <v>-1.3192646297255362E-2</v>
      </c>
      <c r="J30" s="58">
        <v>1.2102042767456078E-2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448052</v>
      </c>
      <c r="D31" s="19">
        <v>421150</v>
      </c>
      <c r="E31" s="12">
        <f t="shared" si="0"/>
        <v>6.3877478333135507E-2</v>
      </c>
      <c r="F31" s="74">
        <v>-2.1315801774795085E-2</v>
      </c>
      <c r="G31" s="79">
        <v>4595366</v>
      </c>
      <c r="H31" s="19">
        <v>4503268</v>
      </c>
      <c r="I31" s="12">
        <f t="shared" si="1"/>
        <v>2.0451369982865675E-2</v>
      </c>
      <c r="J31" s="47">
        <v>6.3320788767080805E-2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VLOOKUP("&lt;T9Titel2&gt;",Uebersetzungen!$B$4:$E$315,Uebersetzungen!$B$2+1,FALSE)</f>
        <v>Hotel- und Kurbetriebe: Logiernächte im September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VLOOKUP("&lt;T9SpaltenTitel_1&gt;",Uebersetzungen!$B$4:$E$315,Uebersetzungen!$B$2+1,FALSE)</f>
        <v>September 2025</v>
      </c>
      <c r="D39" s="21" t="str">
        <f>VLOOKUP("&lt;T9SpaltenTitel_2&gt;",Uebersetzungen!$B$4:$E$315,Uebersetzungen!$B$2+1,FALSE)</f>
        <v>September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VLOOKUP("&lt;T9SpaltenTitel_5&gt;",Uebersetzungen!$B$4:$E$315,Uebersetzungen!$B$2+1,FALSE)</f>
        <v>Januar-September 25</v>
      </c>
      <c r="H39" s="22" t="str">
        <f>VLOOKUP("&lt;T9SpaltenTitel_6&gt;",Uebersetzungen!$B$4:$E$315,Uebersetzungen!$B$2+1,FALSE)</f>
        <v>Januar-September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292502</v>
      </c>
      <c r="D40" s="17">
        <v>275886</v>
      </c>
      <c r="E40" s="10">
        <f>C40/D40-1</f>
        <v>6.0227775240497827E-2</v>
      </c>
      <c r="F40" s="80">
        <v>-0.1223588432618623</v>
      </c>
      <c r="G40" s="83">
        <v>2837841</v>
      </c>
      <c r="H40" s="17">
        <v>2816485</v>
      </c>
      <c r="I40" s="10">
        <f>G40/H40-1</f>
        <v>7.5825008831931218E-3</v>
      </c>
      <c r="J40" s="44">
        <v>-4.2518863064091028E-2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59436</v>
      </c>
      <c r="D41" s="17">
        <v>55362</v>
      </c>
      <c r="E41" s="10">
        <f t="shared" ref="E41:E74" si="2">C41/D41-1</f>
        <v>7.3588381922618407E-2</v>
      </c>
      <c r="F41" s="80">
        <v>1.3833688699360414E-2</v>
      </c>
      <c r="G41" s="83">
        <v>632384</v>
      </c>
      <c r="H41" s="17">
        <v>648533</v>
      </c>
      <c r="I41" s="10">
        <f t="shared" ref="I41:I74" si="3">G41/H41-1</f>
        <v>-2.4900814607737742E-2</v>
      </c>
      <c r="J41" s="44">
        <v>0.12113571581291671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18262</v>
      </c>
      <c r="D42" s="17">
        <v>16144</v>
      </c>
      <c r="E42" s="10">
        <f t="shared" si="2"/>
        <v>0.13119425173439048</v>
      </c>
      <c r="F42" s="80">
        <v>0.89573558111530938</v>
      </c>
      <c r="G42" s="83">
        <v>147088</v>
      </c>
      <c r="H42" s="17">
        <v>126176</v>
      </c>
      <c r="I42" s="10">
        <f t="shared" si="3"/>
        <v>0.16573674866852661</v>
      </c>
      <c r="J42" s="44">
        <v>0.95602507533505166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14994</v>
      </c>
      <c r="D43" s="17">
        <v>11555</v>
      </c>
      <c r="E43" s="10">
        <f t="shared" si="2"/>
        <v>0.29762007788835998</v>
      </c>
      <c r="F43" s="80">
        <v>0.97951046919969365</v>
      </c>
      <c r="G43" s="83">
        <v>153101</v>
      </c>
      <c r="H43" s="17">
        <v>136987</v>
      </c>
      <c r="I43" s="10">
        <f t="shared" si="3"/>
        <v>0.11763160007883955</v>
      </c>
      <c r="J43" s="44">
        <v>0.58176569770805608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5251</v>
      </c>
      <c r="D44" s="17">
        <v>7979</v>
      </c>
      <c r="E44" s="10">
        <f t="shared" si="2"/>
        <v>-0.34189748088732919</v>
      </c>
      <c r="F44" s="80">
        <v>-0.45275861350230318</v>
      </c>
      <c r="G44" s="83">
        <v>79668</v>
      </c>
      <c r="H44" s="17">
        <v>94341</v>
      </c>
      <c r="I44" s="10">
        <f t="shared" si="3"/>
        <v>-0.15553152923967306</v>
      </c>
      <c r="J44" s="44">
        <v>-0.29148731813169226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8131</v>
      </c>
      <c r="D45" s="17">
        <v>9060</v>
      </c>
      <c r="E45" s="10">
        <f t="shared" si="2"/>
        <v>-0.10253863134657837</v>
      </c>
      <c r="F45" s="80">
        <v>9.6975257008715454E-2</v>
      </c>
      <c r="G45" s="83">
        <v>94119</v>
      </c>
      <c r="H45" s="17">
        <v>88682</v>
      </c>
      <c r="I45" s="10">
        <f t="shared" si="3"/>
        <v>6.1308946573149115E-2</v>
      </c>
      <c r="J45" s="44">
        <v>0.30521063594332021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5004</v>
      </c>
      <c r="D46" s="17">
        <v>5623</v>
      </c>
      <c r="E46" s="10">
        <f t="shared" si="2"/>
        <v>-0.11008358527476436</v>
      </c>
      <c r="F46" s="80">
        <v>0.12992819401165145</v>
      </c>
      <c r="G46" s="83">
        <v>42054</v>
      </c>
      <c r="H46" s="17">
        <v>41515</v>
      </c>
      <c r="I46" s="10">
        <f t="shared" si="3"/>
        <v>1.298325906298925E-2</v>
      </c>
      <c r="J46" s="44">
        <v>0.22324674946915257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5178</v>
      </c>
      <c r="D47" s="17">
        <v>4241</v>
      </c>
      <c r="E47" s="10">
        <f t="shared" si="2"/>
        <v>0.22093845791086997</v>
      </c>
      <c r="F47" s="80">
        <v>0.26034465972154619</v>
      </c>
      <c r="G47" s="83">
        <v>85836</v>
      </c>
      <c r="H47" s="17">
        <v>82183</v>
      </c>
      <c r="I47" s="10">
        <f t="shared" si="3"/>
        <v>4.444958203034699E-2</v>
      </c>
      <c r="J47" s="44">
        <v>0.28351745629198088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3899</v>
      </c>
      <c r="D48" s="17">
        <v>3848</v>
      </c>
      <c r="E48" s="10">
        <f t="shared" si="2"/>
        <v>1.3253638253638345E-2</v>
      </c>
      <c r="F48" s="80">
        <v>0.15917469378047344</v>
      </c>
      <c r="G48" s="83">
        <v>57704</v>
      </c>
      <c r="H48" s="17">
        <v>54003</v>
      </c>
      <c r="I48" s="10">
        <f t="shared" si="3"/>
        <v>6.8533229635390658E-2</v>
      </c>
      <c r="J48" s="44">
        <v>0.31916566840714378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2930</v>
      </c>
      <c r="D49" s="17">
        <v>2897</v>
      </c>
      <c r="E49" s="10">
        <f t="shared" si="2"/>
        <v>1.1391094235415844E-2</v>
      </c>
      <c r="F49" s="80">
        <v>1.1449487554904834</v>
      </c>
      <c r="G49" s="83">
        <v>23017</v>
      </c>
      <c r="H49" s="17">
        <v>21326</v>
      </c>
      <c r="I49" s="10">
        <f t="shared" si="3"/>
        <v>7.9292881928162862E-2</v>
      </c>
      <c r="J49" s="44">
        <v>1.0423610001952119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2841</v>
      </c>
      <c r="D50" s="17">
        <v>2701</v>
      </c>
      <c r="E50" s="10">
        <f t="shared" si="2"/>
        <v>5.1832654572380621E-2</v>
      </c>
      <c r="F50" s="80">
        <v>1.5128250486467363</v>
      </c>
      <c r="G50" s="83">
        <v>15103</v>
      </c>
      <c r="H50" s="17">
        <v>15426</v>
      </c>
      <c r="I50" s="10">
        <f t="shared" si="3"/>
        <v>-2.0938674964345871E-2</v>
      </c>
      <c r="J50" s="44">
        <v>1.7354560602767521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3262</v>
      </c>
      <c r="D51" s="17">
        <v>1877</v>
      </c>
      <c r="E51" s="10">
        <f t="shared" si="2"/>
        <v>0.73787959509856149</v>
      </c>
      <c r="F51" s="80">
        <v>2.824150058616647</v>
      </c>
      <c r="G51" s="83">
        <v>35544</v>
      </c>
      <c r="H51" s="17">
        <v>33976</v>
      </c>
      <c r="I51" s="10">
        <f t="shared" si="3"/>
        <v>4.6150223687308589E-2</v>
      </c>
      <c r="J51" s="44">
        <v>0.98843102811685357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1895</v>
      </c>
      <c r="D52" s="17">
        <v>1827</v>
      </c>
      <c r="E52" s="10">
        <f t="shared" si="2"/>
        <v>3.7219485495347593E-2</v>
      </c>
      <c r="F52" s="80">
        <v>1.0172450500319354</v>
      </c>
      <c r="G52" s="83">
        <v>15597</v>
      </c>
      <c r="H52" s="17">
        <v>12382</v>
      </c>
      <c r="I52" s="10">
        <f t="shared" si="3"/>
        <v>0.25965110644483924</v>
      </c>
      <c r="J52" s="44">
        <v>1.038716929833734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2450</v>
      </c>
      <c r="D53" s="17">
        <v>1810</v>
      </c>
      <c r="E53" s="10">
        <f t="shared" si="2"/>
        <v>0.35359116022099446</v>
      </c>
      <c r="F53" s="80">
        <v>1.7083793942073844</v>
      </c>
      <c r="G53" s="83">
        <v>19785</v>
      </c>
      <c r="H53" s="17">
        <v>15501</v>
      </c>
      <c r="I53" s="10">
        <f t="shared" si="3"/>
        <v>0.27636926649893545</v>
      </c>
      <c r="J53" s="44">
        <v>1.7548036758563073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1532</v>
      </c>
      <c r="D54" s="17">
        <v>1323</v>
      </c>
      <c r="E54" s="10">
        <f t="shared" si="2"/>
        <v>0.15797430083144359</v>
      </c>
      <c r="F54" s="80">
        <v>1.2549308213129233</v>
      </c>
      <c r="G54" s="83">
        <v>13326</v>
      </c>
      <c r="H54" s="17">
        <v>12918</v>
      </c>
      <c r="I54" s="10">
        <f t="shared" si="3"/>
        <v>3.1583836507199203E-2</v>
      </c>
      <c r="J54" s="44">
        <v>1.255509292170204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2614</v>
      </c>
      <c r="D55" s="17">
        <v>1277</v>
      </c>
      <c r="E55" s="10">
        <f t="shared" si="2"/>
        <v>1.0469851213782304</v>
      </c>
      <c r="F55" s="80">
        <v>1.3716203955724913</v>
      </c>
      <c r="G55" s="83">
        <v>30424</v>
      </c>
      <c r="H55" s="17">
        <v>26310</v>
      </c>
      <c r="I55" s="10">
        <f t="shared" si="3"/>
        <v>0.15636640060813378</v>
      </c>
      <c r="J55" s="44">
        <v>-0.16386342149814215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1223</v>
      </c>
      <c r="D56" s="17">
        <v>1231</v>
      </c>
      <c r="E56" s="10">
        <f t="shared" si="2"/>
        <v>-6.4987814784728259E-3</v>
      </c>
      <c r="F56" s="80">
        <v>0.95742637644046114</v>
      </c>
      <c r="G56" s="83">
        <v>29182</v>
      </c>
      <c r="H56" s="17">
        <v>23754</v>
      </c>
      <c r="I56" s="10">
        <f t="shared" si="3"/>
        <v>0.2285088827144901</v>
      </c>
      <c r="J56" s="44">
        <v>1.0274288572698977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1152</v>
      </c>
      <c r="D57" s="17">
        <v>1120</v>
      </c>
      <c r="E57" s="10">
        <f t="shared" si="2"/>
        <v>2.857142857142847E-2</v>
      </c>
      <c r="F57" s="80">
        <v>0.99930579659840313</v>
      </c>
      <c r="G57" s="83">
        <v>14776</v>
      </c>
      <c r="H57" s="17">
        <v>11151</v>
      </c>
      <c r="I57" s="10">
        <f t="shared" si="3"/>
        <v>0.32508295220159633</v>
      </c>
      <c r="J57" s="44">
        <v>1.4763692431454043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1093</v>
      </c>
      <c r="D58" s="17">
        <v>729</v>
      </c>
      <c r="E58" s="10">
        <f t="shared" si="2"/>
        <v>0.4993141289437586</v>
      </c>
      <c r="F58" s="80">
        <v>0.41948051948051956</v>
      </c>
      <c r="G58" s="83">
        <v>20017</v>
      </c>
      <c r="H58" s="17">
        <v>19233</v>
      </c>
      <c r="I58" s="10">
        <f t="shared" si="3"/>
        <v>4.0763271460510619E-2</v>
      </c>
      <c r="J58" s="44">
        <v>0.29705947150836542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841</v>
      </c>
      <c r="D59" s="17">
        <v>834</v>
      </c>
      <c r="E59" s="10">
        <f t="shared" si="2"/>
        <v>8.3932853717025857E-3</v>
      </c>
      <c r="F59" s="80">
        <v>5.1512878219554858E-2</v>
      </c>
      <c r="G59" s="83">
        <v>15067</v>
      </c>
      <c r="H59" s="17">
        <v>14118</v>
      </c>
      <c r="I59" s="10">
        <f t="shared" si="3"/>
        <v>6.7219152854512076E-2</v>
      </c>
      <c r="J59" s="44">
        <v>0.31316564695218707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1174</v>
      </c>
      <c r="D60" s="17">
        <v>1011</v>
      </c>
      <c r="E60" s="10">
        <f t="shared" si="2"/>
        <v>0.16122650840751729</v>
      </c>
      <c r="F60" s="80">
        <v>0.4285714285714286</v>
      </c>
      <c r="G60" s="83">
        <v>13602</v>
      </c>
      <c r="H60" s="17">
        <v>13218</v>
      </c>
      <c r="I60" s="10">
        <f t="shared" si="3"/>
        <v>2.9051293690422142E-2</v>
      </c>
      <c r="J60" s="44">
        <v>0.29592225609756095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960</v>
      </c>
      <c r="D61" s="17">
        <v>953</v>
      </c>
      <c r="E61" s="10">
        <f t="shared" si="2"/>
        <v>7.3452256033577079E-3</v>
      </c>
      <c r="F61" s="80">
        <v>0.33630289532293989</v>
      </c>
      <c r="G61" s="83">
        <v>15062</v>
      </c>
      <c r="H61" s="17">
        <v>13234</v>
      </c>
      <c r="I61" s="10">
        <f t="shared" si="3"/>
        <v>0.13812906150823645</v>
      </c>
      <c r="J61" s="44">
        <v>0.70219017697714881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711</v>
      </c>
      <c r="D62" s="17">
        <v>709</v>
      </c>
      <c r="E62" s="10">
        <f t="shared" si="2"/>
        <v>2.8208744710860323E-3</v>
      </c>
      <c r="F62" s="80">
        <v>0.17094861660079053</v>
      </c>
      <c r="G62" s="83">
        <v>12396</v>
      </c>
      <c r="H62" s="17">
        <v>12696</v>
      </c>
      <c r="I62" s="10">
        <f t="shared" si="3"/>
        <v>-2.3629489603024578E-2</v>
      </c>
      <c r="J62" s="44">
        <v>6.0248383454788002E-2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504</v>
      </c>
      <c r="D63" s="17">
        <v>587</v>
      </c>
      <c r="E63" s="10">
        <f t="shared" si="2"/>
        <v>-0.141396933560477</v>
      </c>
      <c r="F63" s="80">
        <v>0.64921465968586367</v>
      </c>
      <c r="G63" s="83">
        <v>12954</v>
      </c>
      <c r="H63" s="17">
        <v>10908</v>
      </c>
      <c r="I63" s="10">
        <f t="shared" si="3"/>
        <v>0.18756875687568764</v>
      </c>
      <c r="J63" s="44">
        <v>0.77369444368376361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662</v>
      </c>
      <c r="D66" s="17">
        <v>825</v>
      </c>
      <c r="E66" s="10">
        <f t="shared" si="2"/>
        <v>-0.19757575757575763</v>
      </c>
      <c r="F66" s="80">
        <v>0.53596287703016232</v>
      </c>
      <c r="G66" s="83">
        <v>14379</v>
      </c>
      <c r="H66" s="17">
        <v>14030</v>
      </c>
      <c r="I66" s="10">
        <f t="shared" si="3"/>
        <v>2.4875267284390601E-2</v>
      </c>
      <c r="J66" s="44">
        <v>0.99747173061428596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2923</v>
      </c>
      <c r="D67" s="17">
        <v>2636</v>
      </c>
      <c r="E67" s="10">
        <f t="shared" si="2"/>
        <v>0.10887708649468886</v>
      </c>
      <c r="F67" s="80">
        <v>0.16019687227117574</v>
      </c>
      <c r="G67" s="83">
        <v>44305</v>
      </c>
      <c r="H67" s="17">
        <v>37396</v>
      </c>
      <c r="I67" s="10">
        <f t="shared" si="3"/>
        <v>0.18475237993368276</v>
      </c>
      <c r="J67" s="44">
        <v>0.49168052684385222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2477</v>
      </c>
      <c r="D68" s="17">
        <v>3110</v>
      </c>
      <c r="E68" s="10">
        <f t="shared" si="2"/>
        <v>-0.20353697749196142</v>
      </c>
      <c r="F68" s="80">
        <v>0.28983545094771923</v>
      </c>
      <c r="G68" s="83">
        <v>27853</v>
      </c>
      <c r="H68" s="17">
        <v>30871</v>
      </c>
      <c r="I68" s="10">
        <f t="shared" si="3"/>
        <v>-9.7761653331605691E-2</v>
      </c>
      <c r="J68" s="44">
        <v>0.4341101236754572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1421</v>
      </c>
      <c r="D69" s="17">
        <v>1548</v>
      </c>
      <c r="E69" s="10">
        <f t="shared" si="2"/>
        <v>-8.2041343669250644E-2</v>
      </c>
      <c r="F69" s="80">
        <v>0.12724099635094399</v>
      </c>
      <c r="G69" s="83">
        <v>42756</v>
      </c>
      <c r="H69" s="17">
        <v>35505</v>
      </c>
      <c r="I69" s="10">
        <f t="shared" si="3"/>
        <v>0.20422475707646814</v>
      </c>
      <c r="J69" s="44">
        <v>0.26872403560830871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1627</v>
      </c>
      <c r="D70" s="17">
        <v>1331</v>
      </c>
      <c r="E70" s="10">
        <f t="shared" si="2"/>
        <v>0.222389181066867</v>
      </c>
      <c r="F70" s="80">
        <v>1.5007685213648938</v>
      </c>
      <c r="G70" s="83">
        <v>18912</v>
      </c>
      <c r="H70" s="17">
        <v>13745</v>
      </c>
      <c r="I70" s="10">
        <f t="shared" si="3"/>
        <v>0.37591851582393598</v>
      </c>
      <c r="J70" s="44">
        <v>1.6207699343144588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378</v>
      </c>
      <c r="D71" s="17">
        <v>422</v>
      </c>
      <c r="E71" s="10">
        <f t="shared" si="2"/>
        <v>-0.10426540284360186</v>
      </c>
      <c r="F71" s="80">
        <v>0.24834874504623516</v>
      </c>
      <c r="G71" s="83">
        <v>5630</v>
      </c>
      <c r="H71" s="17">
        <v>6515</v>
      </c>
      <c r="I71" s="10">
        <f t="shared" si="3"/>
        <v>-0.13584036838066005</v>
      </c>
      <c r="J71" s="44">
        <v>0.35167578987803716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725</v>
      </c>
      <c r="D72" s="17">
        <v>694</v>
      </c>
      <c r="E72" s="10">
        <f t="shared" si="2"/>
        <v>4.4668587896253609E-2</v>
      </c>
      <c r="F72" s="80">
        <v>0.43906312028582772</v>
      </c>
      <c r="G72" s="83">
        <v>25884</v>
      </c>
      <c r="H72" s="17">
        <v>20150</v>
      </c>
      <c r="I72" s="10">
        <f t="shared" si="3"/>
        <v>0.28456575682382135</v>
      </c>
      <c r="J72" s="44">
        <v>0.92431789458032876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448052</v>
      </c>
      <c r="D74" s="40">
        <v>421150</v>
      </c>
      <c r="E74" s="65">
        <f t="shared" si="2"/>
        <v>6.3877478333135507E-2</v>
      </c>
      <c r="F74" s="82">
        <v>-2.1315801774795085E-2</v>
      </c>
      <c r="G74" s="79">
        <v>4595366</v>
      </c>
      <c r="H74" s="40">
        <v>4503268</v>
      </c>
      <c r="I74" s="65">
        <f t="shared" si="3"/>
        <v>2.0451369982865675E-2</v>
      </c>
      <c r="J74" s="66">
        <v>6.3320788767080805E-2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VLOOKUP("&lt;T9Titel3&gt;",Uebersetzungen!$B$4:$E$315,Uebersetzungen!$B$2+1,FALSE)</f>
        <v>Hotel- und Kurbetriebe: Logiernächte im September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VLOOKUP("&lt;T9SpaltenTitel_1&gt;",Uebersetzungen!$B$4:$E$315,Uebersetzungen!$B$2+1,FALSE)</f>
        <v>September 2025</v>
      </c>
      <c r="D82" s="21" t="str">
        <f>VLOOKUP("&lt;T9SpaltenTitel_2&gt;",Uebersetzungen!$B$4:$E$315,Uebersetzungen!$B$2+1,FALSE)</f>
        <v>September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VLOOKUP("&lt;T9SpaltenTitel_5&gt;",Uebersetzungen!$B$4:$E$315,Uebersetzungen!$B$2+1,FALSE)</f>
        <v>Januar-September 25</v>
      </c>
      <c r="H82" s="22" t="str">
        <f>VLOOKUP("&lt;T9SpaltenTitel_6&gt;",Uebersetzungen!$B$4:$E$315,Uebersetzungen!$B$2+1,FALSE)</f>
        <v>Januar-September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116720</v>
      </c>
      <c r="D83" s="17">
        <v>119584</v>
      </c>
      <c r="E83" s="10">
        <f>C83/D83-1</f>
        <v>-2.3949692266523992E-2</v>
      </c>
      <c r="F83" s="80">
        <v>0.15327079533395649</v>
      </c>
      <c r="G83" s="83">
        <v>970824</v>
      </c>
      <c r="H83" s="17">
        <v>933035</v>
      </c>
      <c r="I83" s="10">
        <f>G83/H83-1</f>
        <v>4.0501160192275787E-2</v>
      </c>
      <c r="J83" s="44">
        <v>0.31782282806909534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178137</v>
      </c>
      <c r="D84" s="17">
        <v>161710</v>
      </c>
      <c r="E84" s="10">
        <f t="shared" ref="E84:E96" si="4">C84/D84-1</f>
        <v>0.10158308082369683</v>
      </c>
      <c r="F84" s="80">
        <v>0.29917573080777227</v>
      </c>
      <c r="G84" s="83">
        <v>1435609</v>
      </c>
      <c r="H84" s="17">
        <v>1319111</v>
      </c>
      <c r="I84" s="10">
        <f t="shared" ref="I84:I96" si="5">G84/H84-1</f>
        <v>8.8315539783990982E-2</v>
      </c>
      <c r="J84" s="44">
        <v>0.45255508868665406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613139</v>
      </c>
      <c r="D85" s="17">
        <v>617056</v>
      </c>
      <c r="E85" s="10">
        <f t="shared" si="4"/>
        <v>-6.3478841466576563E-3</v>
      </c>
      <c r="F85" s="80">
        <v>0.17118364733550218</v>
      </c>
      <c r="G85" s="83">
        <v>4913431</v>
      </c>
      <c r="H85" s="17">
        <v>4998106</v>
      </c>
      <c r="I85" s="10">
        <f t="shared" si="5"/>
        <v>-1.6941417408914528E-2</v>
      </c>
      <c r="J85" s="44">
        <v>0.23950749174045294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51641</v>
      </c>
      <c r="D86" s="17">
        <v>47102</v>
      </c>
      <c r="E86" s="10">
        <f t="shared" si="4"/>
        <v>9.6365334805316172E-2</v>
      </c>
      <c r="F86" s="80">
        <v>0.10899462263988879</v>
      </c>
      <c r="G86" s="83">
        <v>398275</v>
      </c>
      <c r="H86" s="17">
        <v>376870</v>
      </c>
      <c r="I86" s="10">
        <f t="shared" si="5"/>
        <v>5.6796773423196223E-2</v>
      </c>
      <c r="J86" s="44">
        <v>0.18442151517927141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334567</v>
      </c>
      <c r="D87" s="17">
        <v>338218</v>
      </c>
      <c r="E87" s="10">
        <f t="shared" si="4"/>
        <v>-1.0794812813037735E-2</v>
      </c>
      <c r="F87" s="80">
        <v>0.37606917054246991</v>
      </c>
      <c r="G87" s="83">
        <v>2908931</v>
      </c>
      <c r="H87" s="17">
        <v>2876953</v>
      </c>
      <c r="I87" s="10">
        <f t="shared" si="5"/>
        <v>1.1115231983282348E-2</v>
      </c>
      <c r="J87" s="44">
        <v>0.50958450619951079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448052</v>
      </c>
      <c r="D88" s="62">
        <v>421150</v>
      </c>
      <c r="E88" s="63">
        <f t="shared" si="4"/>
        <v>6.3877478333135507E-2</v>
      </c>
      <c r="F88" s="85">
        <v>-2.1315801774795085E-2</v>
      </c>
      <c r="G88" s="87">
        <v>4595366</v>
      </c>
      <c r="H88" s="62">
        <v>4503268</v>
      </c>
      <c r="I88" s="63">
        <f t="shared" si="5"/>
        <v>2.0451369982865675E-2</v>
      </c>
      <c r="J88" s="64">
        <v>6.3320788767080805E-2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65991</v>
      </c>
      <c r="D89" s="17">
        <v>63887</v>
      </c>
      <c r="E89" s="10">
        <f t="shared" si="4"/>
        <v>3.2933147588711353E-2</v>
      </c>
      <c r="F89" s="80">
        <v>5.4732077498217846E-2</v>
      </c>
      <c r="G89" s="83">
        <v>493792</v>
      </c>
      <c r="H89" s="17">
        <v>485287</v>
      </c>
      <c r="I89" s="10">
        <f t="shared" si="5"/>
        <v>1.7525711589224446E-2</v>
      </c>
      <c r="J89" s="44">
        <v>0.11883447189840157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419112</v>
      </c>
      <c r="D90" s="17">
        <v>401297</v>
      </c>
      <c r="E90" s="10">
        <f t="shared" si="4"/>
        <v>4.439355390147437E-2</v>
      </c>
      <c r="F90" s="80">
        <v>0.20458505230640833</v>
      </c>
      <c r="G90" s="83">
        <v>3322675</v>
      </c>
      <c r="H90" s="17">
        <v>3221216</v>
      </c>
      <c r="I90" s="10">
        <f t="shared" si="5"/>
        <v>3.1497111649761989E-2</v>
      </c>
      <c r="J90" s="44">
        <v>0.28905174937513878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209957</v>
      </c>
      <c r="D91" s="17">
        <v>208315</v>
      </c>
      <c r="E91" s="10">
        <f t="shared" si="4"/>
        <v>7.8822936418405654E-3</v>
      </c>
      <c r="F91" s="80">
        <v>4.8520363428912194E-3</v>
      </c>
      <c r="G91" s="83">
        <v>1604810</v>
      </c>
      <c r="H91" s="17">
        <v>1602616</v>
      </c>
      <c r="I91" s="10">
        <f t="shared" si="5"/>
        <v>1.3690116659261786E-3</v>
      </c>
      <c r="J91" s="44">
        <v>9.1532392287005937E-2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288545</v>
      </c>
      <c r="D92" s="17">
        <v>291455</v>
      </c>
      <c r="E92" s="10">
        <f t="shared" si="4"/>
        <v>-9.9843886706352247E-3</v>
      </c>
      <c r="F92" s="80">
        <v>-5.4466058167647713E-2</v>
      </c>
      <c r="G92" s="83">
        <v>2058006</v>
      </c>
      <c r="H92" s="17">
        <v>1994223</v>
      </c>
      <c r="I92" s="10">
        <f t="shared" si="5"/>
        <v>3.1983885453131355E-2</v>
      </c>
      <c r="J92" s="44">
        <v>1.2620720718149681E-2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300221</v>
      </c>
      <c r="D93" s="17">
        <v>281454</v>
      </c>
      <c r="E93" s="10">
        <f t="shared" si="4"/>
        <v>6.6678746793436883E-2</v>
      </c>
      <c r="F93" s="80">
        <v>0.21413457914293432</v>
      </c>
      <c r="G93" s="83">
        <v>2430548</v>
      </c>
      <c r="H93" s="17">
        <v>2292118</v>
      </c>
      <c r="I93" s="10">
        <f t="shared" si="5"/>
        <v>6.0393923873029332E-2</v>
      </c>
      <c r="J93" s="44">
        <v>0.28303356883744279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394569</v>
      </c>
      <c r="D94" s="17">
        <v>384379</v>
      </c>
      <c r="E94" s="33">
        <f t="shared" si="4"/>
        <v>2.6510293226216897E-2</v>
      </c>
      <c r="F94" s="80">
        <v>8.1572784109224861E-2</v>
      </c>
      <c r="G94" s="83">
        <v>3701224</v>
      </c>
      <c r="H94" s="17">
        <v>3642576</v>
      </c>
      <c r="I94" s="33">
        <f t="shared" si="5"/>
        <v>1.6100693575096248E-2</v>
      </c>
      <c r="J94" s="44">
        <v>0.14100669851550496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704965</v>
      </c>
      <c r="D95" s="18">
        <v>697531</v>
      </c>
      <c r="E95" s="43">
        <f t="shared" si="4"/>
        <v>1.0657590845424725E-2</v>
      </c>
      <c r="F95" s="11">
        <v>0.33366162586909875</v>
      </c>
      <c r="G95" s="84">
        <v>5677994</v>
      </c>
      <c r="H95" s="18">
        <v>5518712</v>
      </c>
      <c r="I95" s="43">
        <f t="shared" si="5"/>
        <v>2.8862169288776052E-2</v>
      </c>
      <c r="J95" s="48">
        <v>0.4926587034633978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4125616</v>
      </c>
      <c r="D96" s="40">
        <v>4033138</v>
      </c>
      <c r="E96" s="41">
        <f t="shared" si="4"/>
        <v>2.2929540224014167E-2</v>
      </c>
      <c r="F96" s="86">
        <v>0.15413636100672434</v>
      </c>
      <c r="G96" s="79">
        <v>34511485</v>
      </c>
      <c r="H96" s="40">
        <v>33764091</v>
      </c>
      <c r="I96" s="41">
        <f t="shared" si="5"/>
        <v>2.2135765479366798E-2</v>
      </c>
      <c r="J96" s="45">
        <v>0.24420939364422201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VLOOKUP("&lt;T9Aktualisierung&gt;",Uebersetzungen!$B$4:$E$315,Uebersetzungen!$B$2+1,FALSE)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VLOOKUP("&lt;T9Legende_3&gt;",Uebersetzungen!$B$4:$E$315,Uebersetzungen!$B$2+1,FALSE)</f>
        <v>Daten des Oktober 2025 erscheinen am 8. Dezember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300-000000000000}"/>
    <hyperlink ref="E76" location="Länder_Pajais_Paesi!A1" display="Länder / Pajais / Paese" xr:uid="{00000000-0004-0000-03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VLOOKUP("&lt;T8Titel1&gt;",Uebersetzungen!$B$4:$E$315,Uebersetzungen!$B$2+1,FALSE)</f>
        <v>Hotel- und Kurbetriebe: Logiernächte im August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VLOOKUP("&lt;T8SpaltenTitel_1&gt;",Uebersetzungen!$B$4:$E$315,Uebersetzungen!$B$2+1,FALSE)</f>
        <v>August 2025</v>
      </c>
      <c r="D12" s="21" t="str">
        <f>VLOOKUP("&lt;T8SpaltenTitel_2&gt;",Uebersetzungen!$B$4:$E$315,Uebersetzungen!$B$2+1,FALSE)</f>
        <v>August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VLOOKUP("&lt;T8SpaltenTitel_5&gt;",Uebersetzungen!$B$4:$E$315,Uebersetzungen!$B$2+1,FALSE)</f>
        <v>Januar-August 25</v>
      </c>
      <c r="H12" s="22" t="str">
        <f>VLOOKUP("&lt;T8SpaltenTitel_6&gt;",Uebersetzungen!$B$4:$E$315,Uebersetzungen!$B$2+1,FALSE)</f>
        <v>Januar-August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38132</v>
      </c>
      <c r="D13" s="52">
        <v>44621</v>
      </c>
      <c r="E13" s="53">
        <f t="shared" ref="E13:E31" si="0">C13/D13-1</f>
        <v>-0.14542479998207125</v>
      </c>
      <c r="F13" s="72">
        <v>-0.11092665821084824</v>
      </c>
      <c r="G13" s="76">
        <v>320332</v>
      </c>
      <c r="H13" s="52">
        <v>335423</v>
      </c>
      <c r="I13" s="53">
        <f t="shared" ref="I13:I31" si="1">G13/H13-1</f>
        <v>-4.4990951723644423E-2</v>
      </c>
      <c r="J13" s="54">
        <v>5.3621787892881523E-2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7586</v>
      </c>
      <c r="D14" s="52">
        <v>7642</v>
      </c>
      <c r="E14" s="53">
        <f t="shared" si="0"/>
        <v>-7.3279246270609999E-3</v>
      </c>
      <c r="F14" s="72">
        <v>-5.8060991357902103E-2</v>
      </c>
      <c r="G14" s="76">
        <v>46399</v>
      </c>
      <c r="H14" s="52">
        <v>43272</v>
      </c>
      <c r="I14" s="53">
        <f t="shared" si="1"/>
        <v>7.2263819559992504E-2</v>
      </c>
      <c r="J14" s="54">
        <v>2.8483397614930794E-2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10257</v>
      </c>
      <c r="D15" s="52">
        <v>10753</v>
      </c>
      <c r="E15" s="53">
        <f t="shared" si="0"/>
        <v>-4.6126662326792522E-2</v>
      </c>
      <c r="F15" s="72">
        <v>-4.9862248263551345E-3</v>
      </c>
      <c r="G15" s="76">
        <v>40496</v>
      </c>
      <c r="H15" s="52">
        <v>40966</v>
      </c>
      <c r="I15" s="53">
        <f t="shared" si="1"/>
        <v>-1.1472928770199675E-2</v>
      </c>
      <c r="J15" s="54">
        <v>-2.1045964618798707E-2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6420</v>
      </c>
      <c r="D16" s="52">
        <v>6538</v>
      </c>
      <c r="E16" s="53">
        <f t="shared" si="0"/>
        <v>-1.8048332823493385E-2</v>
      </c>
      <c r="F16" s="72">
        <v>0.10995850622406644</v>
      </c>
      <c r="G16" s="76">
        <v>38510</v>
      </c>
      <c r="H16" s="52">
        <v>39779</v>
      </c>
      <c r="I16" s="53">
        <f t="shared" si="1"/>
        <v>-3.1901254430729775E-2</v>
      </c>
      <c r="J16" s="54">
        <v>0.19104320663099617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26879</v>
      </c>
      <c r="D17" s="52">
        <v>24371</v>
      </c>
      <c r="E17" s="53">
        <f t="shared" si="0"/>
        <v>0.1029091953551351</v>
      </c>
      <c r="F17" s="72">
        <v>0.27451445262119734</v>
      </c>
      <c r="G17" s="76">
        <v>178691</v>
      </c>
      <c r="H17" s="52">
        <v>169227</v>
      </c>
      <c r="I17" s="53">
        <f t="shared" si="1"/>
        <v>5.5924881963280049E-2</v>
      </c>
      <c r="J17" s="54">
        <v>0.41964048792966735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106228</v>
      </c>
      <c r="D18" s="52">
        <v>110221</v>
      </c>
      <c r="E18" s="53">
        <f t="shared" si="0"/>
        <v>-3.6227216229212211E-2</v>
      </c>
      <c r="F18" s="72">
        <v>1.8754723205757218E-2</v>
      </c>
      <c r="G18" s="76">
        <v>699660</v>
      </c>
      <c r="H18" s="52">
        <v>711734</v>
      </c>
      <c r="I18" s="53">
        <f t="shared" si="1"/>
        <v>-1.6964202918506088E-2</v>
      </c>
      <c r="J18" s="54">
        <v>5.553961419081177E-2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16431</v>
      </c>
      <c r="D19" s="52">
        <v>15661</v>
      </c>
      <c r="E19" s="53">
        <f t="shared" si="0"/>
        <v>4.9166719877402398E-2</v>
      </c>
      <c r="F19" s="72">
        <v>-1.066942835466822E-2</v>
      </c>
      <c r="G19" s="76">
        <v>103588</v>
      </c>
      <c r="H19" s="52">
        <v>105575</v>
      </c>
      <c r="I19" s="53">
        <f t="shared" si="1"/>
        <v>-1.8820743547241281E-2</v>
      </c>
      <c r="J19" s="54">
        <v>-1.1089360963522088E-3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65801</v>
      </c>
      <c r="D20" s="52">
        <v>64595</v>
      </c>
      <c r="E20" s="53">
        <f t="shared" si="0"/>
        <v>1.8670175710194359E-2</v>
      </c>
      <c r="F20" s="72">
        <v>-5.7257147114362361E-2</v>
      </c>
      <c r="G20" s="76">
        <v>405984</v>
      </c>
      <c r="H20" s="52">
        <v>396592</v>
      </c>
      <c r="I20" s="53">
        <f t="shared" si="1"/>
        <v>2.3681768669060466E-2</v>
      </c>
      <c r="J20" s="54">
        <v>3.7704935631642122E-2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212014</v>
      </c>
      <c r="D21" s="52">
        <v>200600</v>
      </c>
      <c r="E21" s="53">
        <f t="shared" si="0"/>
        <v>5.689930209371874E-2</v>
      </c>
      <c r="F21" s="72">
        <v>-1.307679989870747E-2</v>
      </c>
      <c r="G21" s="76">
        <v>1289922</v>
      </c>
      <c r="H21" s="52">
        <v>1242640</v>
      </c>
      <c r="I21" s="53">
        <f t="shared" si="1"/>
        <v>3.8049636258288722E-2</v>
      </c>
      <c r="J21" s="54">
        <v>0.11427407478561435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47902</v>
      </c>
      <c r="D22" s="52">
        <v>48334</v>
      </c>
      <c r="E22" s="53">
        <f t="shared" si="0"/>
        <v>-8.9378077543758039E-3</v>
      </c>
      <c r="F22" s="72">
        <v>-9.7129027880396235E-2</v>
      </c>
      <c r="G22" s="76">
        <v>374974</v>
      </c>
      <c r="H22" s="52">
        <v>361631</v>
      </c>
      <c r="I22" s="53">
        <f t="shared" si="1"/>
        <v>3.6896726220926768E-2</v>
      </c>
      <c r="J22" s="54">
        <v>-2.6050665500270687E-2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33225</v>
      </c>
      <c r="D23" s="52">
        <v>34182</v>
      </c>
      <c r="E23" s="53">
        <f t="shared" si="0"/>
        <v>-2.7997191504300467E-2</v>
      </c>
      <c r="F23" s="72">
        <v>-3.3207046458438749E-2</v>
      </c>
      <c r="G23" s="76">
        <v>233602</v>
      </c>
      <c r="H23" s="52">
        <v>240474</v>
      </c>
      <c r="I23" s="53">
        <f t="shared" si="1"/>
        <v>-2.8576893967746986E-2</v>
      </c>
      <c r="J23" s="54">
        <v>-2.4540773930073145E-2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7467</v>
      </c>
      <c r="D24" s="52">
        <v>6808</v>
      </c>
      <c r="E24" s="53">
        <f t="shared" si="0"/>
        <v>9.6797884841363091E-2</v>
      </c>
      <c r="F24" s="72">
        <v>0.14637067059690478</v>
      </c>
      <c r="G24" s="76">
        <v>63051</v>
      </c>
      <c r="H24" s="52">
        <v>60065</v>
      </c>
      <c r="I24" s="53">
        <f t="shared" si="1"/>
        <v>4.9712811121285228E-2</v>
      </c>
      <c r="J24" s="54">
        <v>0.18655199668786926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4664</v>
      </c>
      <c r="D25" s="52">
        <v>4203</v>
      </c>
      <c r="E25" s="53">
        <f t="shared" si="0"/>
        <v>0.10968355936236018</v>
      </c>
      <c r="F25" s="72">
        <v>0.16303426263029275</v>
      </c>
      <c r="G25" s="76">
        <v>25795</v>
      </c>
      <c r="H25" s="52">
        <v>18653</v>
      </c>
      <c r="I25" s="53">
        <f t="shared" si="1"/>
        <v>0.38288747118425981</v>
      </c>
      <c r="J25" s="54">
        <v>0.42075810484803755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11527</v>
      </c>
      <c r="D26" s="52">
        <v>10615</v>
      </c>
      <c r="E26" s="53">
        <f t="shared" si="0"/>
        <v>8.5916156382477515E-2</v>
      </c>
      <c r="F26" s="72">
        <v>0.20924426167596821</v>
      </c>
      <c r="G26" s="76">
        <v>79739</v>
      </c>
      <c r="H26" s="52">
        <v>74739</v>
      </c>
      <c r="I26" s="53">
        <f t="shared" si="1"/>
        <v>6.6899476846091099E-2</v>
      </c>
      <c r="J26" s="54">
        <v>0.29942996450722403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12577</v>
      </c>
      <c r="D27" s="52">
        <v>11028</v>
      </c>
      <c r="E27" s="53">
        <f t="shared" si="0"/>
        <v>0.14046064562930716</v>
      </c>
      <c r="F27" s="72">
        <v>6.4512306598503599E-2</v>
      </c>
      <c r="G27" s="77">
        <v>80174</v>
      </c>
      <c r="H27" s="52">
        <v>75331</v>
      </c>
      <c r="I27" s="53">
        <f t="shared" si="1"/>
        <v>6.4289601890324066E-2</v>
      </c>
      <c r="J27" s="54">
        <v>1.5771096121587558E-2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12198</v>
      </c>
      <c r="D28" s="52">
        <v>12581</v>
      </c>
      <c r="E28" s="53">
        <f t="shared" si="0"/>
        <v>-3.04427311024561E-2</v>
      </c>
      <c r="F28" s="72">
        <v>-4.6450180578790246E-2</v>
      </c>
      <c r="G28" s="76">
        <v>55673</v>
      </c>
      <c r="H28" s="52">
        <v>52197</v>
      </c>
      <c r="I28" s="53">
        <f t="shared" si="1"/>
        <v>6.6593865547828424E-2</v>
      </c>
      <c r="J28" s="54">
        <v>0.12291494382702361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6177</v>
      </c>
      <c r="D29" s="55">
        <v>6655</v>
      </c>
      <c r="E29" s="53">
        <f t="shared" si="0"/>
        <v>-7.1825694966190845E-2</v>
      </c>
      <c r="F29" s="72">
        <v>-0.17169522890015287</v>
      </c>
      <c r="G29" s="77">
        <v>44318</v>
      </c>
      <c r="H29" s="55">
        <v>45356</v>
      </c>
      <c r="I29" s="53">
        <f t="shared" si="1"/>
        <v>-2.2885616015521637E-2</v>
      </c>
      <c r="J29" s="54">
        <v>-8.5951647300012035E-2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13443</v>
      </c>
      <c r="D30" s="57">
        <v>12401</v>
      </c>
      <c r="E30" s="53">
        <f t="shared" si="0"/>
        <v>8.4025481815982683E-2</v>
      </c>
      <c r="F30" s="73">
        <v>5.0710478185427732E-2</v>
      </c>
      <c r="G30" s="78">
        <v>66406</v>
      </c>
      <c r="H30" s="57">
        <v>68464</v>
      </c>
      <c r="I30" s="53">
        <f t="shared" si="1"/>
        <v>-3.0059593362935288E-2</v>
      </c>
      <c r="J30" s="58">
        <v>1.1712870140712983E-2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638928</v>
      </c>
      <c r="D31" s="19">
        <v>631809</v>
      </c>
      <c r="E31" s="12">
        <f t="shared" si="0"/>
        <v>1.1267645760031808E-2</v>
      </c>
      <c r="F31" s="74">
        <v>-1.0890104163925218E-2</v>
      </c>
      <c r="G31" s="79">
        <v>4147314</v>
      </c>
      <c r="H31" s="19">
        <v>4082118</v>
      </c>
      <c r="I31" s="12">
        <f t="shared" si="1"/>
        <v>1.5971120874016975E-2</v>
      </c>
      <c r="J31" s="47">
        <v>7.3348873413223048E-2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VLOOKUP("&lt;T8Titel2&gt;",Uebersetzungen!$B$4:$E$315,Uebersetzungen!$B$2+1,FALSE)</f>
        <v>Hotel- und Kurbetriebe: Logiernächte im August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VLOOKUP("&lt;T8SpaltenTitel_1&gt;",Uebersetzungen!$B$4:$E$315,Uebersetzungen!$B$2+1,FALSE)</f>
        <v>August 2025</v>
      </c>
      <c r="D39" s="21" t="str">
        <f>VLOOKUP("&lt;T8SpaltenTitel_2&gt;",Uebersetzungen!$B$4:$E$315,Uebersetzungen!$B$2+1,FALSE)</f>
        <v>August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VLOOKUP("&lt;T8SpaltenTitel_5&gt;",Uebersetzungen!$B$4:$E$315,Uebersetzungen!$B$2+1,FALSE)</f>
        <v>Januar-August 25</v>
      </c>
      <c r="H39" s="22" t="str">
        <f>VLOOKUP("&lt;T8SpaltenTitel_6&gt;",Uebersetzungen!$B$4:$E$315,Uebersetzungen!$B$2+1,FALSE)</f>
        <v>Januar-August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372423</v>
      </c>
      <c r="D40" s="17">
        <v>382049</v>
      </c>
      <c r="E40" s="10">
        <f>C40/D40-1</f>
        <v>-2.5195720967729263E-2</v>
      </c>
      <c r="F40" s="80">
        <v>-0.11530158181149586</v>
      </c>
      <c r="G40" s="83">
        <v>2545339</v>
      </c>
      <c r="H40" s="17">
        <v>2540599</v>
      </c>
      <c r="I40" s="10">
        <f>G40/H40-1</f>
        <v>1.8657017498628914E-3</v>
      </c>
      <c r="J40" s="44">
        <v>-3.240351268675068E-2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92068</v>
      </c>
      <c r="D41" s="17">
        <v>85729</v>
      </c>
      <c r="E41" s="10">
        <f t="shared" ref="E41:E74" si="2">C41/D41-1</f>
        <v>7.3942306570705441E-2</v>
      </c>
      <c r="F41" s="80">
        <v>5.3568731204254982E-2</v>
      </c>
      <c r="G41" s="83">
        <v>572948</v>
      </c>
      <c r="H41" s="17">
        <v>593171</v>
      </c>
      <c r="I41" s="10">
        <f t="shared" ref="I41:I74" si="3">G41/H41-1</f>
        <v>-3.4093035566472363E-2</v>
      </c>
      <c r="J41" s="44">
        <v>0.13358167554224942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19990</v>
      </c>
      <c r="D42" s="17">
        <v>18011</v>
      </c>
      <c r="E42" s="10">
        <f t="shared" si="2"/>
        <v>0.10987729720726214</v>
      </c>
      <c r="F42" s="80">
        <v>0.70307388222464562</v>
      </c>
      <c r="G42" s="83">
        <v>128826</v>
      </c>
      <c r="H42" s="17">
        <v>110032</v>
      </c>
      <c r="I42" s="10">
        <f t="shared" si="3"/>
        <v>0.17080485676893997</v>
      </c>
      <c r="J42" s="44">
        <v>0.96488327471394464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16509</v>
      </c>
      <c r="D43" s="17">
        <v>15444</v>
      </c>
      <c r="E43" s="10">
        <f t="shared" si="2"/>
        <v>6.8958818958819057E-2</v>
      </c>
      <c r="F43" s="80">
        <v>0.52156682027649759</v>
      </c>
      <c r="G43" s="83">
        <v>138107</v>
      </c>
      <c r="H43" s="17">
        <v>125432</v>
      </c>
      <c r="I43" s="10">
        <f t="shared" si="3"/>
        <v>0.10105076854391215</v>
      </c>
      <c r="J43" s="44">
        <v>0.54799667326484092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22400</v>
      </c>
      <c r="D44" s="17">
        <v>21683</v>
      </c>
      <c r="E44" s="10">
        <f t="shared" si="2"/>
        <v>3.306737997509579E-2</v>
      </c>
      <c r="F44" s="80">
        <v>-0.32256698723764587</v>
      </c>
      <c r="G44" s="83">
        <v>74417</v>
      </c>
      <c r="H44" s="17">
        <v>86362</v>
      </c>
      <c r="I44" s="10">
        <f t="shared" si="3"/>
        <v>-0.13831314698594288</v>
      </c>
      <c r="J44" s="44">
        <v>-0.2764412933185284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15839</v>
      </c>
      <c r="D45" s="17">
        <v>14812</v>
      </c>
      <c r="E45" s="10">
        <f t="shared" si="2"/>
        <v>6.9335673778017748E-2</v>
      </c>
      <c r="F45" s="80">
        <v>0.1776383291944863</v>
      </c>
      <c r="G45" s="83">
        <v>85988</v>
      </c>
      <c r="H45" s="17">
        <v>79622</v>
      </c>
      <c r="I45" s="10">
        <f t="shared" si="3"/>
        <v>7.9952776870714226E-2</v>
      </c>
      <c r="J45" s="44">
        <v>0.32906735911465579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7219</v>
      </c>
      <c r="D46" s="17">
        <v>7770</v>
      </c>
      <c r="E46" s="10">
        <f t="shared" si="2"/>
        <v>-7.0913770913770935E-2</v>
      </c>
      <c r="F46" s="80">
        <v>8.7755778561311448E-2</v>
      </c>
      <c r="G46" s="83">
        <v>37050</v>
      </c>
      <c r="H46" s="17">
        <v>35892</v>
      </c>
      <c r="I46" s="10">
        <f t="shared" si="3"/>
        <v>3.2263457037779997E-2</v>
      </c>
      <c r="J46" s="44">
        <v>0.2370452481435974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20065</v>
      </c>
      <c r="D47" s="17">
        <v>19863</v>
      </c>
      <c r="E47" s="10">
        <f t="shared" si="2"/>
        <v>1.0169662185973927E-2</v>
      </c>
      <c r="F47" s="80">
        <v>0.13930591201253728</v>
      </c>
      <c r="G47" s="83">
        <v>80658</v>
      </c>
      <c r="H47" s="17">
        <v>77942</v>
      </c>
      <c r="I47" s="10">
        <f t="shared" si="3"/>
        <v>3.4846424264196374E-2</v>
      </c>
      <c r="J47" s="44">
        <v>0.2850342216954076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10341</v>
      </c>
      <c r="D48" s="17">
        <v>9158</v>
      </c>
      <c r="E48" s="10">
        <f t="shared" si="2"/>
        <v>0.12917667613015937</v>
      </c>
      <c r="F48" s="80">
        <v>0.21707506532024579</v>
      </c>
      <c r="G48" s="83">
        <v>53805</v>
      </c>
      <c r="H48" s="17">
        <v>50155</v>
      </c>
      <c r="I48" s="10">
        <f t="shared" si="3"/>
        <v>7.2774399361977826E-2</v>
      </c>
      <c r="J48" s="44">
        <v>0.33249296667591244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2259</v>
      </c>
      <c r="D49" s="17">
        <v>1861</v>
      </c>
      <c r="E49" s="10">
        <f t="shared" si="2"/>
        <v>0.21386351423965611</v>
      </c>
      <c r="F49" s="80">
        <v>1.1763005780346822</v>
      </c>
      <c r="G49" s="83">
        <v>20087</v>
      </c>
      <c r="H49" s="17">
        <v>18429</v>
      </c>
      <c r="I49" s="10">
        <f t="shared" si="3"/>
        <v>8.9966899994573746E-2</v>
      </c>
      <c r="J49" s="44">
        <v>1.0282113936064947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1837</v>
      </c>
      <c r="D50" s="17">
        <v>1992</v>
      </c>
      <c r="E50" s="10">
        <f t="shared" si="2"/>
        <v>-7.7811244979919647E-2</v>
      </c>
      <c r="F50" s="80">
        <v>1.4318241990998146</v>
      </c>
      <c r="G50" s="83">
        <v>12262</v>
      </c>
      <c r="H50" s="17">
        <v>12725</v>
      </c>
      <c r="I50" s="10">
        <f t="shared" si="3"/>
        <v>-3.6385068762278983E-2</v>
      </c>
      <c r="J50" s="44">
        <v>1.7927845852503079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9903</v>
      </c>
      <c r="D51" s="17">
        <v>13315</v>
      </c>
      <c r="E51" s="10">
        <f t="shared" si="2"/>
        <v>-0.25625234697709354</v>
      </c>
      <c r="F51" s="80">
        <v>0.43567514279915343</v>
      </c>
      <c r="G51" s="83">
        <v>32282</v>
      </c>
      <c r="H51" s="17">
        <v>32099</v>
      </c>
      <c r="I51" s="10">
        <f t="shared" si="3"/>
        <v>5.7011121841801238E-3</v>
      </c>
      <c r="J51" s="44">
        <v>0.89644233480590296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1327</v>
      </c>
      <c r="D52" s="17">
        <v>1189</v>
      </c>
      <c r="E52" s="10">
        <f t="shared" si="2"/>
        <v>0.11606391925988224</v>
      </c>
      <c r="F52" s="80">
        <v>0.5820219360991894</v>
      </c>
      <c r="G52" s="83">
        <v>13702</v>
      </c>
      <c r="H52" s="17">
        <v>10555</v>
      </c>
      <c r="I52" s="10">
        <f t="shared" si="3"/>
        <v>0.29815253434391287</v>
      </c>
      <c r="J52" s="44">
        <v>1.0417225450752494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5008</v>
      </c>
      <c r="D53" s="17">
        <v>3379</v>
      </c>
      <c r="E53" s="10">
        <f t="shared" si="2"/>
        <v>0.48209529446581834</v>
      </c>
      <c r="F53" s="80">
        <v>2.1748446811208315</v>
      </c>
      <c r="G53" s="83">
        <v>17335</v>
      </c>
      <c r="H53" s="17">
        <v>13691</v>
      </c>
      <c r="I53" s="10">
        <f t="shared" si="3"/>
        <v>0.26616025125995169</v>
      </c>
      <c r="J53" s="44">
        <v>1.7614936120049705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2390</v>
      </c>
      <c r="D54" s="17">
        <v>1872</v>
      </c>
      <c r="E54" s="10">
        <f t="shared" si="2"/>
        <v>0.27670940170940161</v>
      </c>
      <c r="F54" s="80">
        <v>1.8843832971276853</v>
      </c>
      <c r="G54" s="83">
        <v>11794</v>
      </c>
      <c r="H54" s="17">
        <v>11595</v>
      </c>
      <c r="I54" s="10">
        <f t="shared" si="3"/>
        <v>1.716257007330757E-2</v>
      </c>
      <c r="J54" s="44">
        <v>1.2555844553243571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4192</v>
      </c>
      <c r="D55" s="17">
        <v>2710</v>
      </c>
      <c r="E55" s="10">
        <f t="shared" si="2"/>
        <v>0.54686346863468627</v>
      </c>
      <c r="F55" s="80">
        <v>1.1203844208396561</v>
      </c>
      <c r="G55" s="83">
        <v>27810</v>
      </c>
      <c r="H55" s="17">
        <v>25033</v>
      </c>
      <c r="I55" s="10">
        <f t="shared" si="3"/>
        <v>0.11093356769064844</v>
      </c>
      <c r="J55" s="44">
        <v>-0.21182852381519213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820</v>
      </c>
      <c r="D56" s="17">
        <v>816</v>
      </c>
      <c r="E56" s="10">
        <f t="shared" si="2"/>
        <v>4.9019607843137081E-3</v>
      </c>
      <c r="F56" s="80">
        <v>1.1820117083555082</v>
      </c>
      <c r="G56" s="83">
        <v>27959</v>
      </c>
      <c r="H56" s="17">
        <v>22523</v>
      </c>
      <c r="I56" s="10">
        <f t="shared" si="3"/>
        <v>0.24135328331039374</v>
      </c>
      <c r="J56" s="44">
        <v>1.0306054267619547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1582</v>
      </c>
      <c r="D57" s="17">
        <v>778</v>
      </c>
      <c r="E57" s="10">
        <f t="shared" si="2"/>
        <v>1.033419023136247</v>
      </c>
      <c r="F57" s="80">
        <v>1.9581151832460737</v>
      </c>
      <c r="G57" s="83">
        <v>13624</v>
      </c>
      <c r="H57" s="17">
        <v>10031</v>
      </c>
      <c r="I57" s="10">
        <f t="shared" si="3"/>
        <v>0.35818961220217327</v>
      </c>
      <c r="J57" s="44">
        <v>1.5273624457388788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3637</v>
      </c>
      <c r="D58" s="17">
        <v>3772</v>
      </c>
      <c r="E58" s="10">
        <f t="shared" si="2"/>
        <v>-3.57900318133616E-2</v>
      </c>
      <c r="F58" s="80">
        <v>0.28162661216435247</v>
      </c>
      <c r="G58" s="83">
        <v>18924</v>
      </c>
      <c r="H58" s="17">
        <v>18504</v>
      </c>
      <c r="I58" s="10">
        <f t="shared" si="3"/>
        <v>2.2697795071335847E-2</v>
      </c>
      <c r="J58" s="44">
        <v>0.29063058393463659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1182</v>
      </c>
      <c r="D59" s="17">
        <v>1170</v>
      </c>
      <c r="E59" s="10">
        <f t="shared" si="2"/>
        <v>1.025641025641022E-2</v>
      </c>
      <c r="F59" s="80">
        <v>0.38602251407129473</v>
      </c>
      <c r="G59" s="83">
        <v>14226</v>
      </c>
      <c r="H59" s="17">
        <v>13284</v>
      </c>
      <c r="I59" s="10">
        <f t="shared" si="3"/>
        <v>7.0912375790424642E-2</v>
      </c>
      <c r="J59" s="44">
        <v>0.33277121978639701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1482</v>
      </c>
      <c r="D60" s="17">
        <v>1379</v>
      </c>
      <c r="E60" s="10">
        <f t="shared" si="2"/>
        <v>7.4691805656272647E-2</v>
      </c>
      <c r="F60" s="80">
        <v>0.65475658776239398</v>
      </c>
      <c r="G60" s="83">
        <v>12428</v>
      </c>
      <c r="H60" s="17">
        <v>12207</v>
      </c>
      <c r="I60" s="10">
        <f t="shared" si="3"/>
        <v>1.8104366347177825E-2</v>
      </c>
      <c r="J60" s="44">
        <v>0.28465402824006114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2556</v>
      </c>
      <c r="D61" s="17">
        <v>2277</v>
      </c>
      <c r="E61" s="10">
        <f t="shared" si="2"/>
        <v>0.12252964426877466</v>
      </c>
      <c r="F61" s="80">
        <v>0.5167339188226916</v>
      </c>
      <c r="G61" s="83">
        <v>14102</v>
      </c>
      <c r="H61" s="17">
        <v>12281</v>
      </c>
      <c r="I61" s="10">
        <f t="shared" si="3"/>
        <v>0.14827782753847396</v>
      </c>
      <c r="J61" s="44">
        <v>0.73452067599813042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1755</v>
      </c>
      <c r="D62" s="17">
        <v>1402</v>
      </c>
      <c r="E62" s="10">
        <f t="shared" si="2"/>
        <v>0.25178316690442215</v>
      </c>
      <c r="F62" s="80">
        <v>0.34051329055911994</v>
      </c>
      <c r="G62" s="83">
        <v>11685</v>
      </c>
      <c r="H62" s="17">
        <v>11987</v>
      </c>
      <c r="I62" s="10">
        <f t="shared" si="3"/>
        <v>-2.5193960123467085E-2</v>
      </c>
      <c r="J62" s="44">
        <v>5.4184258958536402E-2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3221</v>
      </c>
      <c r="D63" s="17">
        <v>2896</v>
      </c>
      <c r="E63" s="10">
        <f t="shared" si="2"/>
        <v>0.11222375690607733</v>
      </c>
      <c r="F63" s="80">
        <v>0.37192265099241828</v>
      </c>
      <c r="G63" s="83">
        <v>12450</v>
      </c>
      <c r="H63" s="17">
        <v>10321</v>
      </c>
      <c r="I63" s="10">
        <f t="shared" si="3"/>
        <v>0.2062784613894002</v>
      </c>
      <c r="J63" s="44">
        <v>0.77913058389779644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2664</v>
      </c>
      <c r="D66" s="17">
        <v>2798</v>
      </c>
      <c r="E66" s="10">
        <f t="shared" si="2"/>
        <v>-4.7891350964974988E-2</v>
      </c>
      <c r="F66" s="80">
        <v>0.92513368983957234</v>
      </c>
      <c r="G66" s="83">
        <v>13717</v>
      </c>
      <c r="H66" s="17">
        <v>13205</v>
      </c>
      <c r="I66" s="10">
        <f t="shared" si="3"/>
        <v>3.8773191972737653E-2</v>
      </c>
      <c r="J66" s="44">
        <v>1.0268632897925407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4737</v>
      </c>
      <c r="D67" s="17">
        <v>3912</v>
      </c>
      <c r="E67" s="10">
        <f t="shared" si="2"/>
        <v>0.21088957055214719</v>
      </c>
      <c r="F67" s="80">
        <v>0.59968931514250978</v>
      </c>
      <c r="G67" s="83">
        <v>41382</v>
      </c>
      <c r="H67" s="17">
        <v>34760</v>
      </c>
      <c r="I67" s="10">
        <f t="shared" si="3"/>
        <v>0.19050632911392396</v>
      </c>
      <c r="J67" s="44">
        <v>0.52240453241115414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2647</v>
      </c>
      <c r="D68" s="17">
        <v>2980</v>
      </c>
      <c r="E68" s="10">
        <f t="shared" si="2"/>
        <v>-0.11174496644295306</v>
      </c>
      <c r="F68" s="80">
        <v>0.39023109243697474</v>
      </c>
      <c r="G68" s="83">
        <v>25376</v>
      </c>
      <c r="H68" s="17">
        <v>27761</v>
      </c>
      <c r="I68" s="10">
        <f t="shared" si="3"/>
        <v>-8.5911890782032319E-2</v>
      </c>
      <c r="J68" s="44">
        <v>0.44994114756533743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4539</v>
      </c>
      <c r="D69" s="17">
        <v>3577</v>
      </c>
      <c r="E69" s="10">
        <f t="shared" si="2"/>
        <v>0.26894045289348623</v>
      </c>
      <c r="F69" s="80">
        <v>0.63709153862800272</v>
      </c>
      <c r="G69" s="83">
        <v>41335</v>
      </c>
      <c r="H69" s="17">
        <v>33957</v>
      </c>
      <c r="I69" s="10">
        <f t="shared" si="3"/>
        <v>0.21727478870336014</v>
      </c>
      <c r="J69" s="44">
        <v>0.27422208795477121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1786</v>
      </c>
      <c r="D70" s="17">
        <v>1189</v>
      </c>
      <c r="E70" s="10">
        <f t="shared" si="2"/>
        <v>0.50210260723296884</v>
      </c>
      <c r="F70" s="80">
        <v>2.1104144897248345</v>
      </c>
      <c r="G70" s="83">
        <v>17285</v>
      </c>
      <c r="H70" s="17">
        <v>12414</v>
      </c>
      <c r="I70" s="10">
        <f t="shared" si="3"/>
        <v>0.39237957145158697</v>
      </c>
      <c r="J70" s="44">
        <v>1.6326611429267697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526</v>
      </c>
      <c r="D71" s="17">
        <v>500</v>
      </c>
      <c r="E71" s="10">
        <f t="shared" si="2"/>
        <v>5.2000000000000046E-2</v>
      </c>
      <c r="F71" s="80">
        <v>0.29620502710694918</v>
      </c>
      <c r="G71" s="83">
        <v>5252</v>
      </c>
      <c r="H71" s="17">
        <v>6093</v>
      </c>
      <c r="I71" s="10">
        <f t="shared" si="3"/>
        <v>-0.13802724437879532</v>
      </c>
      <c r="J71" s="44">
        <v>0.35977630488815238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2024</v>
      </c>
      <c r="D72" s="17">
        <v>1526</v>
      </c>
      <c r="E72" s="10">
        <f t="shared" si="2"/>
        <v>0.3263433813892529</v>
      </c>
      <c r="F72" s="80">
        <v>0.99684293606945529</v>
      </c>
      <c r="G72" s="83">
        <v>25159</v>
      </c>
      <c r="H72" s="17">
        <v>19456</v>
      </c>
      <c r="I72" s="10">
        <f t="shared" si="3"/>
        <v>0.29312294407894735</v>
      </c>
      <c r="J72" s="44">
        <v>0.94320007414730611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638928</v>
      </c>
      <c r="D74" s="40">
        <v>631809</v>
      </c>
      <c r="E74" s="65">
        <f t="shared" si="2"/>
        <v>1.1267645760031808E-2</v>
      </c>
      <c r="F74" s="82">
        <v>-1.0890104163925218E-2</v>
      </c>
      <c r="G74" s="79">
        <v>4147314</v>
      </c>
      <c r="H74" s="40">
        <v>4082118</v>
      </c>
      <c r="I74" s="65">
        <f t="shared" si="3"/>
        <v>1.5971120874016975E-2</v>
      </c>
      <c r="J74" s="66">
        <v>7.3348873413223048E-2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VLOOKUP("&lt;T8Titel3&gt;",Uebersetzungen!$B$4:$E$315,Uebersetzungen!$B$2+1,FALSE)</f>
        <v>Hotel- und Kurbetriebe: Logiernächte im August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VLOOKUP("&lt;T8SpaltenTitel_1&gt;",Uebersetzungen!$B$4:$E$315,Uebersetzungen!$B$2+1,FALSE)</f>
        <v>August 2025</v>
      </c>
      <c r="D82" s="21" t="str">
        <f>VLOOKUP("&lt;T8SpaltenTitel_2&gt;",Uebersetzungen!$B$4:$E$315,Uebersetzungen!$B$2+1,FALSE)</f>
        <v>August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VLOOKUP("&lt;T8SpaltenTitel_5&gt;",Uebersetzungen!$B$4:$E$315,Uebersetzungen!$B$2+1,FALSE)</f>
        <v>Januar-August 25</v>
      </c>
      <c r="H82" s="22" t="str">
        <f>VLOOKUP("&lt;T8SpaltenTitel_6&gt;",Uebersetzungen!$B$4:$E$315,Uebersetzungen!$B$2+1,FALSE)</f>
        <v>Januar-August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126797</v>
      </c>
      <c r="D83" s="17">
        <v>119794</v>
      </c>
      <c r="E83" s="10">
        <f>C83/D83-1</f>
        <v>5.8458687413392996E-2</v>
      </c>
      <c r="F83" s="80">
        <v>0.20055635931191729</v>
      </c>
      <c r="G83" s="83">
        <v>854104</v>
      </c>
      <c r="H83" s="17">
        <v>813451</v>
      </c>
      <c r="I83" s="10">
        <f>G83/H83-1</f>
        <v>4.9975966591718546E-2</v>
      </c>
      <c r="J83" s="133">
        <v>0.34402970982564396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188620</v>
      </c>
      <c r="D84" s="17">
        <v>171650</v>
      </c>
      <c r="E84" s="10">
        <f t="shared" ref="E84:E96" si="4">C84/D84-1</f>
        <v>9.8863967375473427E-2</v>
      </c>
      <c r="F84" s="80">
        <v>0.35619592148990287</v>
      </c>
      <c r="G84" s="83">
        <v>1257472</v>
      </c>
      <c r="H84" s="17">
        <v>1157401</v>
      </c>
      <c r="I84" s="10">
        <f t="shared" ref="I84:I96" si="5">G84/H84-1</f>
        <v>8.6461822652650122E-2</v>
      </c>
      <c r="J84" s="133">
        <v>0.47726164689617789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778791</v>
      </c>
      <c r="D85" s="17">
        <v>778130</v>
      </c>
      <c r="E85" s="10">
        <f t="shared" si="4"/>
        <v>8.4947245318911513E-4</v>
      </c>
      <c r="F85" s="80">
        <v>0.17200783153471888</v>
      </c>
      <c r="G85" s="83">
        <v>4300292</v>
      </c>
      <c r="H85" s="17">
        <v>4381050</v>
      </c>
      <c r="I85" s="10">
        <f t="shared" si="5"/>
        <v>-1.843348055831362E-2</v>
      </c>
      <c r="J85" s="133">
        <v>0.24990393832520752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59874</v>
      </c>
      <c r="D86" s="17">
        <v>54509</v>
      </c>
      <c r="E86" s="10">
        <f t="shared" si="4"/>
        <v>9.8424113449155248E-2</v>
      </c>
      <c r="F86" s="80">
        <v>0.10467819425686886</v>
      </c>
      <c r="G86" s="83">
        <v>346634</v>
      </c>
      <c r="H86" s="17">
        <v>329768</v>
      </c>
      <c r="I86" s="10">
        <f t="shared" si="5"/>
        <v>5.114504742728232E-2</v>
      </c>
      <c r="J86" s="133">
        <v>0.19654561546671756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377591</v>
      </c>
      <c r="D87" s="17">
        <v>363591</v>
      </c>
      <c r="E87" s="10">
        <f t="shared" si="4"/>
        <v>3.8504803474233462E-2</v>
      </c>
      <c r="F87" s="80">
        <v>0.41839844873997678</v>
      </c>
      <c r="G87" s="83">
        <v>2574364</v>
      </c>
      <c r="H87" s="17">
        <v>2538735</v>
      </c>
      <c r="I87" s="10">
        <f t="shared" si="5"/>
        <v>1.4034154805444343E-2</v>
      </c>
      <c r="J87" s="133">
        <v>0.52886297777784619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638928</v>
      </c>
      <c r="D88" s="62">
        <v>631809</v>
      </c>
      <c r="E88" s="63">
        <f t="shared" si="4"/>
        <v>1.1267645760031808E-2</v>
      </c>
      <c r="F88" s="85">
        <v>-1.0890104163925218E-2</v>
      </c>
      <c r="G88" s="87">
        <v>4147314</v>
      </c>
      <c r="H88" s="62">
        <v>4082118</v>
      </c>
      <c r="I88" s="63">
        <f t="shared" si="5"/>
        <v>1.5971120874016975E-2</v>
      </c>
      <c r="J88" s="134">
        <v>7.3348873413223048E-2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74058</v>
      </c>
      <c r="D89" s="17">
        <v>72704</v>
      </c>
      <c r="E89" s="10">
        <f t="shared" si="4"/>
        <v>1.862345950704225E-2</v>
      </c>
      <c r="F89" s="80">
        <v>6.7798223075791642E-2</v>
      </c>
      <c r="G89" s="83">
        <v>427801</v>
      </c>
      <c r="H89" s="17">
        <v>421400</v>
      </c>
      <c r="I89" s="10">
        <f t="shared" si="5"/>
        <v>1.5189843379212142E-2</v>
      </c>
      <c r="J89" s="133">
        <v>0.12942290267871681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498256</v>
      </c>
      <c r="D90" s="17">
        <v>480361</v>
      </c>
      <c r="E90" s="10">
        <f t="shared" si="4"/>
        <v>3.7253232464750541E-2</v>
      </c>
      <c r="F90" s="80">
        <v>0.2011239443736248</v>
      </c>
      <c r="G90" s="83">
        <v>2903563</v>
      </c>
      <c r="H90" s="17">
        <v>2819919</v>
      </c>
      <c r="I90" s="10">
        <f t="shared" si="5"/>
        <v>2.9661844896963441E-2</v>
      </c>
      <c r="J90" s="133">
        <v>0.30223235501111123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243233</v>
      </c>
      <c r="D91" s="17">
        <v>247871</v>
      </c>
      <c r="E91" s="10">
        <f t="shared" si="4"/>
        <v>-1.8711345821011749E-2</v>
      </c>
      <c r="F91" s="80">
        <v>3.7822472805657315E-2</v>
      </c>
      <c r="G91" s="83">
        <v>1394853</v>
      </c>
      <c r="H91" s="17">
        <v>1394301</v>
      </c>
      <c r="I91" s="10">
        <f t="shared" si="5"/>
        <v>3.9589729907674176E-4</v>
      </c>
      <c r="J91" s="133">
        <v>0.10589168603700672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349646</v>
      </c>
      <c r="D92" s="17">
        <v>339868</v>
      </c>
      <c r="E92" s="10">
        <f t="shared" si="4"/>
        <v>2.8769993056127596E-2</v>
      </c>
      <c r="F92" s="80">
        <v>-3.589442116606123E-2</v>
      </c>
      <c r="G92" s="83">
        <v>1769461</v>
      </c>
      <c r="H92" s="17">
        <v>1702768</v>
      </c>
      <c r="I92" s="10">
        <f t="shared" si="5"/>
        <v>3.916740272309549E-2</v>
      </c>
      <c r="J92" s="133">
        <v>2.4473856379437109E-2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346505</v>
      </c>
      <c r="D93" s="17">
        <v>322167</v>
      </c>
      <c r="E93" s="10">
        <f t="shared" si="4"/>
        <v>7.5544670931535496E-2</v>
      </c>
      <c r="F93" s="80">
        <v>0.184758042732734</v>
      </c>
      <c r="G93" s="83">
        <v>2130327</v>
      </c>
      <c r="H93" s="17">
        <v>2010664</v>
      </c>
      <c r="I93" s="10">
        <f t="shared" si="5"/>
        <v>5.9514170443196956E-2</v>
      </c>
      <c r="J93" s="133">
        <v>0.29337703183841879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532205</v>
      </c>
      <c r="D94" s="17">
        <v>512200</v>
      </c>
      <c r="E94" s="33">
        <f t="shared" si="4"/>
        <v>3.9057008980866836E-2</v>
      </c>
      <c r="F94" s="80">
        <v>7.0981973783927677E-2</v>
      </c>
      <c r="G94" s="83">
        <v>3306655</v>
      </c>
      <c r="H94" s="17">
        <v>3258197</v>
      </c>
      <c r="I94" s="33">
        <f t="shared" si="5"/>
        <v>1.4872642753031906E-2</v>
      </c>
      <c r="J94" s="133">
        <v>0.14853779045372772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770568</v>
      </c>
      <c r="D95" s="18">
        <v>725282</v>
      </c>
      <c r="E95" s="43">
        <f t="shared" si="4"/>
        <v>6.243916159507612E-2</v>
      </c>
      <c r="F95" s="11">
        <v>0.42662587672818497</v>
      </c>
      <c r="G95" s="84">
        <v>4973029</v>
      </c>
      <c r="H95" s="18">
        <v>4821181</v>
      </c>
      <c r="I95" s="43">
        <f t="shared" si="5"/>
        <v>3.1496017262160558E-2</v>
      </c>
      <c r="J95" s="48">
        <v>0.51831848353444654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4985072</v>
      </c>
      <c r="D96" s="40">
        <v>4819936</v>
      </c>
      <c r="E96" s="41">
        <f t="shared" si="4"/>
        <v>3.426103583118123E-2</v>
      </c>
      <c r="F96" s="86">
        <v>0.16302245783760383</v>
      </c>
      <c r="G96" s="79">
        <v>30385869</v>
      </c>
      <c r="H96" s="40">
        <v>29730953</v>
      </c>
      <c r="I96" s="41">
        <f t="shared" si="5"/>
        <v>2.2028086351621567E-2</v>
      </c>
      <c r="J96" s="135">
        <v>0.25753462489557855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VLOOKUP("&lt;T8Aktualisierung&gt;",Uebersetzungen!$B$4:$E$315,Uebersetzungen!$B$2+1,FALSE)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VLOOKUP("&lt;T8Legende_3&gt;",Uebersetzungen!$B$4:$E$315,Uebersetzungen!$B$2+1,FALSE)</f>
        <v>Daten des September 2025 erscheinen am 4. November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400-000000000000}"/>
    <hyperlink ref="E76" location="Länder_Pajais_Paesi!A1" display="Länder / Pajais / Paese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VLOOKUP("&lt;T7Titel1&gt;",Uebersetzungen!$B$4:$E$315,Uebersetzungen!$B$2+1,FALSE)</f>
        <v>Hotel- und Kurbetriebe: Logiernächte im Juli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VLOOKUP("&lt;T7SpaltenTitel_1&gt;",Uebersetzungen!$B$4:$E$315,Uebersetzungen!$B$2+1,FALSE)</f>
        <v>Juli 2025</v>
      </c>
      <c r="D12" s="21" t="str">
        <f>VLOOKUP("&lt;T7SpaltenTitel_2&gt;",Uebersetzungen!$B$4:$E$315,Uebersetzungen!$B$2+1,FALSE)</f>
        <v>Juli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VLOOKUP("&lt;T7SpaltenTitel_5&gt;",Uebersetzungen!$B$4:$E$315,Uebersetzungen!$B$2+1,FALSE)</f>
        <v>Januar-Juli 25</v>
      </c>
      <c r="H12" s="22" t="str">
        <f>VLOOKUP("&lt;T7SpaltenTitel_6&gt;",Uebersetzungen!$B$4:$E$315,Uebersetzungen!$B$2+1,FALSE)</f>
        <v>Januar-Juli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39485</v>
      </c>
      <c r="D13" s="52">
        <v>42669</v>
      </c>
      <c r="E13" s="53">
        <f t="shared" ref="E13:E31" si="0">C13/D13-1</f>
        <v>-7.4620919168483013E-2</v>
      </c>
      <c r="F13" s="72">
        <v>-0.10432762758539338</v>
      </c>
      <c r="G13" s="76">
        <v>282200</v>
      </c>
      <c r="H13" s="52">
        <v>290802</v>
      </c>
      <c r="I13" s="53">
        <f t="shared" ref="I13:I31" si="1">G13/H13-1</f>
        <v>-2.9580264234771447E-2</v>
      </c>
      <c r="J13" s="54">
        <v>8.0647224207110568E-2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8463</v>
      </c>
      <c r="D14" s="52">
        <v>7148</v>
      </c>
      <c r="E14" s="53">
        <f t="shared" si="0"/>
        <v>0.18396754336877441</v>
      </c>
      <c r="F14" s="72">
        <v>-2.8513526251296994E-3</v>
      </c>
      <c r="G14" s="76">
        <v>38813</v>
      </c>
      <c r="H14" s="52">
        <v>35630</v>
      </c>
      <c r="I14" s="53">
        <f t="shared" si="1"/>
        <v>8.9334830199270243E-2</v>
      </c>
      <c r="J14" s="54">
        <v>4.7290369235086338E-2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8908</v>
      </c>
      <c r="D15" s="52">
        <v>8172</v>
      </c>
      <c r="E15" s="53">
        <f t="shared" si="0"/>
        <v>9.0063631913852138E-2</v>
      </c>
      <c r="F15" s="72">
        <v>-0.10129136400322836</v>
      </c>
      <c r="G15" s="76">
        <v>30239</v>
      </c>
      <c r="H15" s="52">
        <v>30213</v>
      </c>
      <c r="I15" s="53">
        <f t="shared" si="1"/>
        <v>8.6055671399720701E-4</v>
      </c>
      <c r="J15" s="54">
        <v>-2.6376287099703077E-2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5562</v>
      </c>
      <c r="D16" s="52">
        <v>5981</v>
      </c>
      <c r="E16" s="53">
        <f t="shared" si="0"/>
        <v>-7.0055174719946489E-2</v>
      </c>
      <c r="F16" s="72">
        <v>5.0623347185493106E-2</v>
      </c>
      <c r="G16" s="76">
        <v>32090</v>
      </c>
      <c r="H16" s="52">
        <v>33241</v>
      </c>
      <c r="I16" s="53">
        <f t="shared" si="1"/>
        <v>-3.4625913781173856E-2</v>
      </c>
      <c r="J16" s="54">
        <v>0.20870842592941341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26279</v>
      </c>
      <c r="D17" s="52">
        <v>24716</v>
      </c>
      <c r="E17" s="53">
        <f t="shared" si="0"/>
        <v>6.3238388088687536E-2</v>
      </c>
      <c r="F17" s="72">
        <v>0.29672943312805944</v>
      </c>
      <c r="G17" s="76">
        <v>151812</v>
      </c>
      <c r="H17" s="52">
        <v>144856</v>
      </c>
      <c r="I17" s="53">
        <f t="shared" si="1"/>
        <v>4.802010272270385E-2</v>
      </c>
      <c r="J17" s="54">
        <v>0.44885045952987657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101456</v>
      </c>
      <c r="D18" s="52">
        <v>94204</v>
      </c>
      <c r="E18" s="53">
        <f t="shared" si="0"/>
        <v>7.6981869135068548E-2</v>
      </c>
      <c r="F18" s="72">
        <v>6.2024821829880228E-3</v>
      </c>
      <c r="G18" s="76">
        <v>593432</v>
      </c>
      <c r="H18" s="52">
        <v>601513</v>
      </c>
      <c r="I18" s="53">
        <f t="shared" si="1"/>
        <v>-1.3434456113167959E-2</v>
      </c>
      <c r="J18" s="54">
        <v>6.2406480509096918E-2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16798</v>
      </c>
      <c r="D19" s="52">
        <v>12971</v>
      </c>
      <c r="E19" s="53">
        <f t="shared" si="0"/>
        <v>0.29504278775730475</v>
      </c>
      <c r="F19" s="72">
        <v>-9.0800840026846186E-2</v>
      </c>
      <c r="G19" s="76">
        <v>87157</v>
      </c>
      <c r="H19" s="52">
        <v>89914</v>
      </c>
      <c r="I19" s="53">
        <f t="shared" si="1"/>
        <v>-3.0662633182819143E-2</v>
      </c>
      <c r="J19" s="54">
        <v>7.1416433587279116E-4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59622</v>
      </c>
      <c r="D20" s="52">
        <v>60365</v>
      </c>
      <c r="E20" s="53">
        <f t="shared" si="0"/>
        <v>-1.2308456887269115E-2</v>
      </c>
      <c r="F20" s="72">
        <v>-0.15381776894692023</v>
      </c>
      <c r="G20" s="76">
        <v>340183</v>
      </c>
      <c r="H20" s="52">
        <v>331997</v>
      </c>
      <c r="I20" s="53">
        <f t="shared" si="1"/>
        <v>2.4656849308879236E-2</v>
      </c>
      <c r="J20" s="54">
        <v>5.8325286091877926E-2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189754</v>
      </c>
      <c r="D21" s="52">
        <v>189389</v>
      </c>
      <c r="E21" s="53">
        <f t="shared" si="0"/>
        <v>1.9272502626868082E-3</v>
      </c>
      <c r="F21" s="72">
        <v>-0.11254099296034192</v>
      </c>
      <c r="G21" s="76">
        <v>1077908</v>
      </c>
      <c r="H21" s="52">
        <v>1042040</v>
      </c>
      <c r="I21" s="53">
        <f t="shared" si="1"/>
        <v>3.44209435338374E-2</v>
      </c>
      <c r="J21" s="54">
        <v>0.14329146705087914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45621</v>
      </c>
      <c r="D22" s="52">
        <v>46439</v>
      </c>
      <c r="E22" s="53">
        <f t="shared" si="0"/>
        <v>-1.7614505049635021E-2</v>
      </c>
      <c r="F22" s="72">
        <v>-0.24970890264520329</v>
      </c>
      <c r="G22" s="76">
        <v>327072</v>
      </c>
      <c r="H22" s="52">
        <v>313297</v>
      </c>
      <c r="I22" s="53">
        <f t="shared" si="1"/>
        <v>4.3967864358739561E-2</v>
      </c>
      <c r="J22" s="54">
        <v>-1.4690234988329554E-2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32601</v>
      </c>
      <c r="D23" s="52">
        <v>31285</v>
      </c>
      <c r="E23" s="53">
        <f t="shared" si="0"/>
        <v>4.2064887326194622E-2</v>
      </c>
      <c r="F23" s="72">
        <v>-0.12091616062472355</v>
      </c>
      <c r="G23" s="76">
        <v>200377</v>
      </c>
      <c r="H23" s="52">
        <v>206292</v>
      </c>
      <c r="I23" s="53">
        <f t="shared" si="1"/>
        <v>-2.8672949023713978E-2</v>
      </c>
      <c r="J23" s="54">
        <v>-2.3088758965798317E-2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7327</v>
      </c>
      <c r="D24" s="52">
        <v>6663</v>
      </c>
      <c r="E24" s="53">
        <f t="shared" si="0"/>
        <v>9.9654810145580086E-2</v>
      </c>
      <c r="F24" s="72">
        <v>5.3153567527166157E-2</v>
      </c>
      <c r="G24" s="76">
        <v>55584</v>
      </c>
      <c r="H24" s="52">
        <v>53257</v>
      </c>
      <c r="I24" s="53">
        <f t="shared" si="1"/>
        <v>4.3693786732260653E-2</v>
      </c>
      <c r="J24" s="54">
        <v>0.19216547558788966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4387</v>
      </c>
      <c r="D25" s="52">
        <v>3328</v>
      </c>
      <c r="E25" s="53">
        <f t="shared" si="0"/>
        <v>0.31820913461538458</v>
      </c>
      <c r="F25" s="72">
        <v>0.17550911039657024</v>
      </c>
      <c r="G25" s="76">
        <v>21131</v>
      </c>
      <c r="H25" s="52">
        <v>14450</v>
      </c>
      <c r="I25" s="53">
        <f t="shared" si="1"/>
        <v>0.46235294117647063</v>
      </c>
      <c r="J25" s="54">
        <v>0.49382140029408461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12231</v>
      </c>
      <c r="D26" s="52">
        <v>11660</v>
      </c>
      <c r="E26" s="53">
        <f t="shared" si="0"/>
        <v>4.8970840480274447E-2</v>
      </c>
      <c r="F26" s="72">
        <v>0.22019593367784673</v>
      </c>
      <c r="G26" s="76">
        <v>68212</v>
      </c>
      <c r="H26" s="52">
        <v>64124</v>
      </c>
      <c r="I26" s="53">
        <f t="shared" si="1"/>
        <v>6.3751481504584762E-2</v>
      </c>
      <c r="J26" s="54">
        <v>0.31601591288812747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11874</v>
      </c>
      <c r="D27" s="52">
        <v>11083</v>
      </c>
      <c r="E27" s="53">
        <f t="shared" si="0"/>
        <v>7.1370567535865792E-2</v>
      </c>
      <c r="F27" s="72">
        <v>-6.7316000314193714E-2</v>
      </c>
      <c r="G27" s="77">
        <v>67597</v>
      </c>
      <c r="H27" s="52">
        <v>64303</v>
      </c>
      <c r="I27" s="53">
        <f t="shared" si="1"/>
        <v>5.1226225837052608E-2</v>
      </c>
      <c r="J27" s="54">
        <v>7.1907072103751801E-3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13549</v>
      </c>
      <c r="D28" s="52">
        <v>12166</v>
      </c>
      <c r="E28" s="53">
        <f t="shared" si="0"/>
        <v>0.11367746177872751</v>
      </c>
      <c r="F28" s="72">
        <v>5.3216628836167956E-2</v>
      </c>
      <c r="G28" s="76">
        <v>43475</v>
      </c>
      <c r="H28" s="52">
        <v>39616</v>
      </c>
      <c r="I28" s="53">
        <f t="shared" si="1"/>
        <v>9.7410137318255208E-2</v>
      </c>
      <c r="J28" s="54">
        <v>0.18180977959485456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5943</v>
      </c>
      <c r="D29" s="55">
        <v>5530</v>
      </c>
      <c r="E29" s="53">
        <f t="shared" si="0"/>
        <v>7.4683544303797422E-2</v>
      </c>
      <c r="F29" s="72">
        <v>-0.14415322580645162</v>
      </c>
      <c r="G29" s="77">
        <v>38141</v>
      </c>
      <c r="H29" s="55">
        <v>38701</v>
      </c>
      <c r="I29" s="53">
        <f t="shared" si="1"/>
        <v>-1.4469910338234193E-2</v>
      </c>
      <c r="J29" s="54">
        <v>-7.0366578921712053E-2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12319</v>
      </c>
      <c r="D30" s="57">
        <v>12793</v>
      </c>
      <c r="E30" s="53">
        <f t="shared" si="0"/>
        <v>-3.7051512545923537E-2</v>
      </c>
      <c r="F30" s="73">
        <v>-0.12381399450916797</v>
      </c>
      <c r="G30" s="78">
        <v>52963</v>
      </c>
      <c r="H30" s="57">
        <v>56063</v>
      </c>
      <c r="I30" s="53">
        <f t="shared" si="1"/>
        <v>-5.5294936054081978E-2</v>
      </c>
      <c r="J30" s="58">
        <v>2.2708778835418553E-3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602179</v>
      </c>
      <c r="D31" s="19">
        <v>586562</v>
      </c>
      <c r="E31" s="12">
        <f t="shared" si="0"/>
        <v>2.6624636440819582E-2</v>
      </c>
      <c r="F31" s="74">
        <v>-8.3201665214739484E-2</v>
      </c>
      <c r="G31" s="79">
        <v>3508386</v>
      </c>
      <c r="H31" s="19">
        <v>3450309</v>
      </c>
      <c r="I31" s="12">
        <f t="shared" si="1"/>
        <v>1.6832405445425414E-2</v>
      </c>
      <c r="J31" s="47">
        <v>9.0258838375598671E-2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VLOOKUP("&lt;T7Titel2&gt;",Uebersetzungen!$B$4:$E$315,Uebersetzungen!$B$2+1,FALSE)</f>
        <v>Hotel- und Kurbetriebe: Logiernächte im Juli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VLOOKUP("&lt;T7SpaltenTitel_1&gt;",Uebersetzungen!$B$4:$E$315,Uebersetzungen!$B$2+1,FALSE)</f>
        <v>Juli 2025</v>
      </c>
      <c r="D39" s="21" t="str">
        <f>VLOOKUP("&lt;T7SpaltenTitel_2&gt;",Uebersetzungen!$B$4:$E$315,Uebersetzungen!$B$2+1,FALSE)</f>
        <v>Juli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VLOOKUP("&lt;T7SpaltenTitel_5&gt;",Uebersetzungen!$B$4:$E$315,Uebersetzungen!$B$2+1,FALSE)</f>
        <v>Januar-Juli 25</v>
      </c>
      <c r="H39" s="22" t="str">
        <f>VLOOKUP("&lt;T7SpaltenTitel_6&gt;",Uebersetzungen!$B$4:$E$315,Uebersetzungen!$B$2+1,FALSE)</f>
        <v>Januar-Juli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382179</v>
      </c>
      <c r="D40" s="17">
        <v>376431</v>
      </c>
      <c r="E40" s="10">
        <f>C40/D40-1</f>
        <v>1.5269730707619722E-2</v>
      </c>
      <c r="F40" s="80">
        <v>-0.18579541847344661</v>
      </c>
      <c r="G40" s="83">
        <v>2172916</v>
      </c>
      <c r="H40" s="17">
        <v>2158550</v>
      </c>
      <c r="I40" s="10">
        <f>G40/H40-1</f>
        <v>6.6553936670450398E-3</v>
      </c>
      <c r="J40" s="44">
        <v>-1.6610377917709473E-2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71882</v>
      </c>
      <c r="D41" s="17">
        <v>69197</v>
      </c>
      <c r="E41" s="10">
        <f t="shared" ref="E41:E74" si="2">C41/D41-1</f>
        <v>3.880226021359312E-2</v>
      </c>
      <c r="F41" s="80">
        <v>2.7370045878771343E-2</v>
      </c>
      <c r="G41" s="83">
        <v>480880</v>
      </c>
      <c r="H41" s="17">
        <v>507442</v>
      </c>
      <c r="I41" s="10">
        <f t="shared" ref="I41:I74" si="3">G41/H41-1</f>
        <v>-5.2344898530275352E-2</v>
      </c>
      <c r="J41" s="44">
        <v>0.15030733548174746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19109</v>
      </c>
      <c r="D42" s="17">
        <v>18188</v>
      </c>
      <c r="E42" s="10">
        <f t="shared" si="2"/>
        <v>5.0637783153727689E-2</v>
      </c>
      <c r="F42" s="80">
        <v>0.69857777777777774</v>
      </c>
      <c r="G42" s="83">
        <v>108836</v>
      </c>
      <c r="H42" s="17">
        <v>92021</v>
      </c>
      <c r="I42" s="10">
        <f t="shared" si="3"/>
        <v>0.18273002901511615</v>
      </c>
      <c r="J42" s="44">
        <v>1.0219742655118473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15626</v>
      </c>
      <c r="D43" s="17">
        <v>12083</v>
      </c>
      <c r="E43" s="10">
        <f t="shared" si="2"/>
        <v>0.29322188198295129</v>
      </c>
      <c r="F43" s="80">
        <v>0.95364072814562917</v>
      </c>
      <c r="G43" s="83">
        <v>121598</v>
      </c>
      <c r="H43" s="17">
        <v>109988</v>
      </c>
      <c r="I43" s="10">
        <f t="shared" si="3"/>
        <v>0.1055569698512564</v>
      </c>
      <c r="J43" s="44">
        <v>0.55165593505396449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17627</v>
      </c>
      <c r="D44" s="17">
        <v>24701</v>
      </c>
      <c r="E44" s="10">
        <f t="shared" si="2"/>
        <v>-0.28638516659244562</v>
      </c>
      <c r="F44" s="80">
        <v>-0.51084211636335386</v>
      </c>
      <c r="G44" s="83">
        <v>52017</v>
      </c>
      <c r="H44" s="17">
        <v>64679</v>
      </c>
      <c r="I44" s="10">
        <f t="shared" si="3"/>
        <v>-0.19576678674685755</v>
      </c>
      <c r="J44" s="44">
        <v>-0.25458495384236191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14297</v>
      </c>
      <c r="D45" s="17">
        <v>13215</v>
      </c>
      <c r="E45" s="10">
        <f t="shared" si="2"/>
        <v>8.1876655315928915E-2</v>
      </c>
      <c r="F45" s="80">
        <v>0.32360020737668482</v>
      </c>
      <c r="G45" s="83">
        <v>70149</v>
      </c>
      <c r="H45" s="17">
        <v>64810</v>
      </c>
      <c r="I45" s="10">
        <f t="shared" si="3"/>
        <v>8.2379262459497005E-2</v>
      </c>
      <c r="J45" s="44">
        <v>0.36880905085446902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5560</v>
      </c>
      <c r="D46" s="17">
        <v>6100</v>
      </c>
      <c r="E46" s="10">
        <f t="shared" si="2"/>
        <v>-8.8524590163934436E-2</v>
      </c>
      <c r="F46" s="80">
        <v>8.7814790623412797E-3</v>
      </c>
      <c r="G46" s="83">
        <v>29831</v>
      </c>
      <c r="H46" s="17">
        <v>28122</v>
      </c>
      <c r="I46" s="10">
        <f t="shared" si="3"/>
        <v>6.0770926676623205E-2</v>
      </c>
      <c r="J46" s="44">
        <v>0.27954258850980951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9125</v>
      </c>
      <c r="D47" s="17">
        <v>8120</v>
      </c>
      <c r="E47" s="10">
        <f t="shared" si="2"/>
        <v>0.12376847290640391</v>
      </c>
      <c r="F47" s="80">
        <v>0.2283275899203101</v>
      </c>
      <c r="G47" s="83">
        <v>60593</v>
      </c>
      <c r="H47" s="17">
        <v>58079</v>
      </c>
      <c r="I47" s="10">
        <f t="shared" si="3"/>
        <v>4.3285869247060127E-2</v>
      </c>
      <c r="J47" s="44">
        <v>0.34187121863069025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6989</v>
      </c>
      <c r="D48" s="17">
        <v>5323</v>
      </c>
      <c r="E48" s="10">
        <f t="shared" si="2"/>
        <v>0.31298140146533915</v>
      </c>
      <c r="F48" s="80">
        <v>0.34393508191677569</v>
      </c>
      <c r="G48" s="83">
        <v>43464</v>
      </c>
      <c r="H48" s="17">
        <v>40997</v>
      </c>
      <c r="I48" s="10">
        <f t="shared" si="3"/>
        <v>6.0175134765958482E-2</v>
      </c>
      <c r="J48" s="44">
        <v>0.36325142867896609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2126</v>
      </c>
      <c r="D49" s="17">
        <v>2225</v>
      </c>
      <c r="E49" s="10">
        <f t="shared" si="2"/>
        <v>-4.4494382022471912E-2</v>
      </c>
      <c r="F49" s="80">
        <v>0.824892703862661</v>
      </c>
      <c r="G49" s="83">
        <v>17828</v>
      </c>
      <c r="H49" s="17">
        <v>16568</v>
      </c>
      <c r="I49" s="10">
        <f t="shared" si="3"/>
        <v>7.6050217286335098E-2</v>
      </c>
      <c r="J49" s="44">
        <v>1.0108732432493404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2611</v>
      </c>
      <c r="D50" s="17">
        <v>2110</v>
      </c>
      <c r="E50" s="10">
        <f t="shared" si="2"/>
        <v>0.23744075829383893</v>
      </c>
      <c r="F50" s="80">
        <v>1.9396532312542218</v>
      </c>
      <c r="G50" s="83">
        <v>10425</v>
      </c>
      <c r="H50" s="17">
        <v>10733</v>
      </c>
      <c r="I50" s="10">
        <f t="shared" si="3"/>
        <v>-2.8696543370912098E-2</v>
      </c>
      <c r="J50" s="44">
        <v>1.867792693661972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8554</v>
      </c>
      <c r="D51" s="17">
        <v>7177</v>
      </c>
      <c r="E51" s="10">
        <f t="shared" si="2"/>
        <v>0.19186289536017842</v>
      </c>
      <c r="F51" s="80">
        <v>1.5606178530802852</v>
      </c>
      <c r="G51" s="83">
        <v>22379</v>
      </c>
      <c r="H51" s="17">
        <v>18784</v>
      </c>
      <c r="I51" s="10">
        <f t="shared" si="3"/>
        <v>0.19138628620102205</v>
      </c>
      <c r="J51" s="44">
        <v>1.2103589277601094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1293</v>
      </c>
      <c r="D52" s="17">
        <v>1439</v>
      </c>
      <c r="E52" s="10">
        <f t="shared" si="2"/>
        <v>-0.10145934676858925</v>
      </c>
      <c r="F52" s="80">
        <v>0.63961450672077103</v>
      </c>
      <c r="G52" s="83">
        <v>12375</v>
      </c>
      <c r="H52" s="17">
        <v>9366</v>
      </c>
      <c r="I52" s="10">
        <f t="shared" si="3"/>
        <v>0.32126841768097369</v>
      </c>
      <c r="J52" s="44">
        <v>1.1073873505670786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5491</v>
      </c>
      <c r="D53" s="17">
        <v>4144</v>
      </c>
      <c r="E53" s="10">
        <f t="shared" si="2"/>
        <v>0.32504826254826247</v>
      </c>
      <c r="F53" s="80">
        <v>2.0067900558536853</v>
      </c>
      <c r="G53" s="83">
        <v>12327</v>
      </c>
      <c r="H53" s="17">
        <v>10312</v>
      </c>
      <c r="I53" s="10">
        <f t="shared" si="3"/>
        <v>0.19540341349883628</v>
      </c>
      <c r="J53" s="44">
        <v>1.6227659574468083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1971</v>
      </c>
      <c r="D54" s="17">
        <v>2808</v>
      </c>
      <c r="E54" s="10">
        <f t="shared" si="2"/>
        <v>-0.29807692307692313</v>
      </c>
      <c r="F54" s="80">
        <v>1.0896946564885495</v>
      </c>
      <c r="G54" s="83">
        <v>9404</v>
      </c>
      <c r="H54" s="17">
        <v>9723</v>
      </c>
      <c r="I54" s="10">
        <f t="shared" si="3"/>
        <v>-3.2808803867119152E-2</v>
      </c>
      <c r="J54" s="44">
        <v>1.137175582928049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2538</v>
      </c>
      <c r="D55" s="17">
        <v>2207</v>
      </c>
      <c r="E55" s="10">
        <f t="shared" si="2"/>
        <v>0.1499773448119619</v>
      </c>
      <c r="F55" s="80">
        <v>0.60287987874194759</v>
      </c>
      <c r="G55" s="83">
        <v>23618</v>
      </c>
      <c r="H55" s="17">
        <v>22323</v>
      </c>
      <c r="I55" s="10">
        <f t="shared" si="3"/>
        <v>5.8011915961116323E-2</v>
      </c>
      <c r="J55" s="44">
        <v>-0.29090406878993136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1372</v>
      </c>
      <c r="D56" s="17">
        <v>1009</v>
      </c>
      <c r="E56" s="10">
        <f t="shared" si="2"/>
        <v>0.35976214073339952</v>
      </c>
      <c r="F56" s="80">
        <v>1.407862407862408</v>
      </c>
      <c r="G56" s="83">
        <v>27139</v>
      </c>
      <c r="H56" s="17">
        <v>21707</v>
      </c>
      <c r="I56" s="10">
        <f t="shared" si="3"/>
        <v>0.25024185746533378</v>
      </c>
      <c r="J56" s="44">
        <v>1.0263570521914431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2462</v>
      </c>
      <c r="D57" s="17">
        <v>1725</v>
      </c>
      <c r="E57" s="10">
        <f t="shared" si="2"/>
        <v>0.42724637681159416</v>
      </c>
      <c r="F57" s="80">
        <v>1.2830118694362014</v>
      </c>
      <c r="G57" s="83">
        <v>12042</v>
      </c>
      <c r="H57" s="17">
        <v>9253</v>
      </c>
      <c r="I57" s="10">
        <f t="shared" si="3"/>
        <v>0.30141575705176704</v>
      </c>
      <c r="J57" s="44">
        <v>1.4799209193129865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3414</v>
      </c>
      <c r="D58" s="17">
        <v>3445</v>
      </c>
      <c r="E58" s="10">
        <f t="shared" si="2"/>
        <v>-8.9985486211900945E-3</v>
      </c>
      <c r="F58" s="80">
        <v>0.32120743034055721</v>
      </c>
      <c r="G58" s="83">
        <v>15287</v>
      </c>
      <c r="H58" s="17">
        <v>14732</v>
      </c>
      <c r="I58" s="10">
        <f t="shared" si="3"/>
        <v>3.7673092587564572E-2</v>
      </c>
      <c r="J58" s="44">
        <v>0.29279142141938985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1982</v>
      </c>
      <c r="D59" s="17">
        <v>1919</v>
      </c>
      <c r="E59" s="10">
        <f t="shared" si="2"/>
        <v>3.2829598749348543E-2</v>
      </c>
      <c r="F59" s="80">
        <v>0.31606905710491362</v>
      </c>
      <c r="G59" s="83">
        <v>13044</v>
      </c>
      <c r="H59" s="17">
        <v>12114</v>
      </c>
      <c r="I59" s="10">
        <f t="shared" si="3"/>
        <v>7.6770678553739424E-2</v>
      </c>
      <c r="J59" s="44">
        <v>0.32814727324563209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3886</v>
      </c>
      <c r="D60" s="17">
        <v>3634</v>
      </c>
      <c r="E60" s="10">
        <f t="shared" si="2"/>
        <v>6.9345074298293952E-2</v>
      </c>
      <c r="F60" s="80">
        <v>0.49254877861422641</v>
      </c>
      <c r="G60" s="83">
        <v>10946</v>
      </c>
      <c r="H60" s="17">
        <v>10828</v>
      </c>
      <c r="I60" s="10">
        <f t="shared" si="3"/>
        <v>1.0897672700406424E-2</v>
      </c>
      <c r="J60" s="44">
        <v>0.24689586038776112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1440</v>
      </c>
      <c r="D61" s="17">
        <v>1342</v>
      </c>
      <c r="E61" s="10">
        <f t="shared" si="2"/>
        <v>7.3025335320417328E-2</v>
      </c>
      <c r="F61" s="80">
        <v>0.52316479796911364</v>
      </c>
      <c r="G61" s="83">
        <v>11546</v>
      </c>
      <c r="H61" s="17">
        <v>10004</v>
      </c>
      <c r="I61" s="10">
        <f t="shared" si="3"/>
        <v>0.15413834466213516</v>
      </c>
      <c r="J61" s="44">
        <v>0.791466252909232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816</v>
      </c>
      <c r="D62" s="17">
        <v>933</v>
      </c>
      <c r="E62" s="10">
        <f t="shared" si="2"/>
        <v>-0.12540192926045013</v>
      </c>
      <c r="F62" s="80">
        <v>-4.1353383458646698E-2</v>
      </c>
      <c r="G62" s="83">
        <v>9930</v>
      </c>
      <c r="H62" s="17">
        <v>10585</v>
      </c>
      <c r="I62" s="10">
        <f t="shared" si="3"/>
        <v>-6.1880018894662214E-2</v>
      </c>
      <c r="J62" s="44">
        <v>1.5835993125460357E-2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2057</v>
      </c>
      <c r="D63" s="17">
        <v>1745</v>
      </c>
      <c r="E63" s="10">
        <f t="shared" si="2"/>
        <v>0.17879656160458457</v>
      </c>
      <c r="F63" s="80">
        <v>0.29192312523552322</v>
      </c>
      <c r="G63" s="83">
        <v>9229</v>
      </c>
      <c r="H63" s="17">
        <v>7425</v>
      </c>
      <c r="I63" s="10">
        <f t="shared" si="3"/>
        <v>0.24296296296296305</v>
      </c>
      <c r="J63" s="44">
        <v>0.98473118279569882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2289</v>
      </c>
      <c r="D66" s="17">
        <v>2013</v>
      </c>
      <c r="E66" s="10">
        <f t="shared" si="2"/>
        <v>0.1371087928464978</v>
      </c>
      <c r="F66" s="80">
        <v>0.9024268617021276</v>
      </c>
      <c r="G66" s="83">
        <v>11053</v>
      </c>
      <c r="H66" s="17">
        <v>10407</v>
      </c>
      <c r="I66" s="10">
        <f t="shared" si="3"/>
        <v>6.2073604304794916E-2</v>
      </c>
      <c r="J66" s="44">
        <v>1.0530108845053681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5047</v>
      </c>
      <c r="D67" s="17">
        <v>4022</v>
      </c>
      <c r="E67" s="10">
        <f t="shared" si="2"/>
        <v>0.25484833416210839</v>
      </c>
      <c r="F67" s="80">
        <v>0.37206394084384509</v>
      </c>
      <c r="G67" s="83">
        <v>36645</v>
      </c>
      <c r="H67" s="17">
        <v>30848</v>
      </c>
      <c r="I67" s="10">
        <f t="shared" si="3"/>
        <v>0.18792142116182564</v>
      </c>
      <c r="J67" s="44">
        <v>0.5129558065794686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3081</v>
      </c>
      <c r="D68" s="17">
        <v>3302</v>
      </c>
      <c r="E68" s="10">
        <f t="shared" si="2"/>
        <v>-6.6929133858267709E-2</v>
      </c>
      <c r="F68" s="80">
        <v>0.6294690078273748</v>
      </c>
      <c r="G68" s="83">
        <v>22729</v>
      </c>
      <c r="H68" s="17">
        <v>24781</v>
      </c>
      <c r="I68" s="10">
        <f t="shared" si="3"/>
        <v>-8.2805375085751143E-2</v>
      </c>
      <c r="J68" s="44">
        <v>0.45723005116237325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3547</v>
      </c>
      <c r="D69" s="17">
        <v>2885</v>
      </c>
      <c r="E69" s="10">
        <f t="shared" si="2"/>
        <v>0.22946273830155972</v>
      </c>
      <c r="F69" s="80">
        <v>0.46449215524360032</v>
      </c>
      <c r="G69" s="83">
        <v>36796</v>
      </c>
      <c r="H69" s="17">
        <v>30380</v>
      </c>
      <c r="I69" s="10">
        <f t="shared" si="3"/>
        <v>0.21119157340355499</v>
      </c>
      <c r="J69" s="44">
        <v>0.24030903231895584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2215</v>
      </c>
      <c r="D70" s="17">
        <v>1355</v>
      </c>
      <c r="E70" s="10">
        <f t="shared" si="2"/>
        <v>0.6346863468634687</v>
      </c>
      <c r="F70" s="80">
        <v>2.3328317785133912</v>
      </c>
      <c r="G70" s="83">
        <v>15499</v>
      </c>
      <c r="H70" s="17">
        <v>11225</v>
      </c>
      <c r="I70" s="10">
        <f t="shared" si="3"/>
        <v>0.38075723830734964</v>
      </c>
      <c r="J70" s="44">
        <v>1.5868745201455416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379</v>
      </c>
      <c r="D71" s="17">
        <v>435</v>
      </c>
      <c r="E71" s="10">
        <f t="shared" si="2"/>
        <v>-0.12873563218390804</v>
      </c>
      <c r="F71" s="80">
        <v>7.1832579185520329E-2</v>
      </c>
      <c r="G71" s="83">
        <v>4726</v>
      </c>
      <c r="H71" s="17">
        <v>5593</v>
      </c>
      <c r="I71" s="10">
        <f t="shared" si="3"/>
        <v>-0.15501519756838911</v>
      </c>
      <c r="J71" s="44">
        <v>0.36723948388589944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1214</v>
      </c>
      <c r="D72" s="17">
        <v>1330</v>
      </c>
      <c r="E72" s="10">
        <f t="shared" si="2"/>
        <v>-8.7218045112781972E-2</v>
      </c>
      <c r="F72" s="80">
        <v>0.58237747653806049</v>
      </c>
      <c r="G72" s="83">
        <v>23135</v>
      </c>
      <c r="H72" s="17">
        <v>17930</v>
      </c>
      <c r="I72" s="10">
        <f t="shared" si="3"/>
        <v>0.29029559397657567</v>
      </c>
      <c r="J72" s="44">
        <v>0.93864382918817491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602179</v>
      </c>
      <c r="D74" s="40">
        <v>586562</v>
      </c>
      <c r="E74" s="65">
        <f t="shared" si="2"/>
        <v>2.6624636440819582E-2</v>
      </c>
      <c r="F74" s="82">
        <v>-8.3201665214739484E-2</v>
      </c>
      <c r="G74" s="79">
        <v>3508386</v>
      </c>
      <c r="H74" s="40">
        <v>3450309</v>
      </c>
      <c r="I74" s="65">
        <f t="shared" si="3"/>
        <v>1.6832405445425414E-2</v>
      </c>
      <c r="J74" s="66">
        <v>9.0258838375598671E-2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VLOOKUP("&lt;T7Titel3&gt;",Uebersetzungen!$B$4:$E$315,Uebersetzungen!$B$2+1,FALSE)</f>
        <v>Hotel- und Kurbetriebe: Logiernächte im Juli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VLOOKUP("&lt;T7SpaltenTitel_1&gt;",Uebersetzungen!$B$4:$E$315,Uebersetzungen!$B$2+1,FALSE)</f>
        <v>Juli 2025</v>
      </c>
      <c r="D82" s="21" t="str">
        <f>VLOOKUP("&lt;T7SpaltenTitel_2&gt;",Uebersetzungen!$B$4:$E$315,Uebersetzungen!$B$2+1,FALSE)</f>
        <v>Juli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VLOOKUP("&lt;T7SpaltenTitel_5&gt;",Uebersetzungen!$B$4:$E$315,Uebersetzungen!$B$2+1,FALSE)</f>
        <v>Januar-Juli 25</v>
      </c>
      <c r="H82" s="22" t="str">
        <f>VLOOKUP("&lt;T7SpaltenTitel_6&gt;",Uebersetzungen!$B$4:$E$315,Uebersetzungen!$B$2+1,FALSE)</f>
        <v>Januar-Juli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125964</v>
      </c>
      <c r="D83" s="17">
        <v>117647</v>
      </c>
      <c r="E83" s="10">
        <f>C83/D83-1</f>
        <v>7.0694535347267662E-2</v>
      </c>
      <c r="F83" s="80">
        <v>0.27116694182850098</v>
      </c>
      <c r="G83" s="83">
        <v>727307</v>
      </c>
      <c r="H83" s="17">
        <v>693657</v>
      </c>
      <c r="I83" s="10">
        <f>G83/H83-1</f>
        <v>4.8511007601739875E-2</v>
      </c>
      <c r="J83" s="44">
        <v>0.37262750799826683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195764</v>
      </c>
      <c r="D84" s="17">
        <v>177420</v>
      </c>
      <c r="E84" s="10">
        <f t="shared" ref="E84:E96" si="4">C84/D84-1</f>
        <v>0.10339307857062341</v>
      </c>
      <c r="F84" s="80">
        <v>0.44599279972936223</v>
      </c>
      <c r="G84" s="83">
        <v>1068852</v>
      </c>
      <c r="H84" s="17">
        <v>985751</v>
      </c>
      <c r="I84" s="10">
        <f t="shared" ref="I84:I96" si="5">G84/H84-1</f>
        <v>8.4302222366500201E-2</v>
      </c>
      <c r="J84" s="44">
        <v>0.50090572332890537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769883</v>
      </c>
      <c r="D85" s="17">
        <v>781915</v>
      </c>
      <c r="E85" s="10">
        <f t="shared" si="4"/>
        <v>-1.5387861851991591E-2</v>
      </c>
      <c r="F85" s="80">
        <v>0.18240855444405923</v>
      </c>
      <c r="G85" s="83">
        <v>3521501</v>
      </c>
      <c r="H85" s="17">
        <v>3602920</v>
      </c>
      <c r="I85" s="10">
        <f t="shared" si="5"/>
        <v>-2.2598059351859101E-2</v>
      </c>
      <c r="J85" s="44">
        <v>0.26854994857718206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59738</v>
      </c>
      <c r="D86" s="17">
        <v>52961</v>
      </c>
      <c r="E86" s="10">
        <f t="shared" si="4"/>
        <v>0.12796208530805697</v>
      </c>
      <c r="F86" s="80">
        <v>0.10603395604599064</v>
      </c>
      <c r="G86" s="83">
        <v>286760</v>
      </c>
      <c r="H86" s="17">
        <v>275259</v>
      </c>
      <c r="I86" s="10">
        <f t="shared" si="5"/>
        <v>4.1782466695003517E-2</v>
      </c>
      <c r="J86" s="44">
        <v>0.21768936267066175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393868</v>
      </c>
      <c r="D87" s="17">
        <v>378234</v>
      </c>
      <c r="E87" s="10">
        <f t="shared" si="4"/>
        <v>4.1334200521370379E-2</v>
      </c>
      <c r="F87" s="80">
        <v>0.52957733789201744</v>
      </c>
      <c r="G87" s="83">
        <v>2196773</v>
      </c>
      <c r="H87" s="17">
        <v>2175144</v>
      </c>
      <c r="I87" s="10">
        <f t="shared" si="5"/>
        <v>9.9437094739474041E-3</v>
      </c>
      <c r="J87" s="44">
        <v>0.54960649894669467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602179</v>
      </c>
      <c r="D88" s="62">
        <v>586562</v>
      </c>
      <c r="E88" s="63">
        <f t="shared" si="4"/>
        <v>2.6624636440819582E-2</v>
      </c>
      <c r="F88" s="85">
        <v>-8.3201665214739484E-2</v>
      </c>
      <c r="G88" s="87">
        <v>3508386</v>
      </c>
      <c r="H88" s="62">
        <v>3450309</v>
      </c>
      <c r="I88" s="63">
        <f t="shared" si="5"/>
        <v>1.6832405445425414E-2</v>
      </c>
      <c r="J88" s="64">
        <v>9.0258838375598671E-2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71180</v>
      </c>
      <c r="D89" s="17">
        <v>70108</v>
      </c>
      <c r="E89" s="10">
        <f t="shared" si="4"/>
        <v>1.5290694357277257E-2</v>
      </c>
      <c r="F89" s="80">
        <v>5.9639899375336647E-3</v>
      </c>
      <c r="G89" s="83">
        <v>353743</v>
      </c>
      <c r="H89" s="17">
        <v>348696</v>
      </c>
      <c r="I89" s="10">
        <f t="shared" si="5"/>
        <v>1.4473925711794733E-2</v>
      </c>
      <c r="J89" s="44">
        <v>0.14323582052506834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495752</v>
      </c>
      <c r="D90" s="17">
        <v>477071</v>
      </c>
      <c r="E90" s="10">
        <f t="shared" si="4"/>
        <v>3.9157693508932612E-2</v>
      </c>
      <c r="F90" s="80">
        <v>0.22307518471259624</v>
      </c>
      <c r="G90" s="83">
        <v>2405307</v>
      </c>
      <c r="H90" s="17">
        <v>2339558</v>
      </c>
      <c r="I90" s="10">
        <f t="shared" si="5"/>
        <v>2.8103171624725753E-2</v>
      </c>
      <c r="J90" s="44">
        <v>0.32534287561263797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221863</v>
      </c>
      <c r="D91" s="17">
        <v>223565</v>
      </c>
      <c r="E91" s="10">
        <f t="shared" si="4"/>
        <v>-7.6129984568246156E-3</v>
      </c>
      <c r="F91" s="80">
        <v>-5.1744934242681229E-3</v>
      </c>
      <c r="G91" s="83">
        <v>1151620</v>
      </c>
      <c r="H91" s="17">
        <v>1146430</v>
      </c>
      <c r="I91" s="10">
        <f t="shared" si="5"/>
        <v>4.5270971624957745E-3</v>
      </c>
      <c r="J91" s="44">
        <v>0.12142670733179872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394389</v>
      </c>
      <c r="D92" s="17">
        <v>347880</v>
      </c>
      <c r="E92" s="10">
        <f t="shared" si="4"/>
        <v>0.13369265263884089</v>
      </c>
      <c r="F92" s="80">
        <v>3.233951305930205E-2</v>
      </c>
      <c r="G92" s="83">
        <v>1419815</v>
      </c>
      <c r="H92" s="17">
        <v>1362900</v>
      </c>
      <c r="I92" s="10">
        <f t="shared" si="5"/>
        <v>4.1760217183945958E-2</v>
      </c>
      <c r="J92" s="44">
        <v>4.0518527160779083E-2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354235</v>
      </c>
      <c r="D93" s="17">
        <v>337032</v>
      </c>
      <c r="E93" s="10">
        <f t="shared" si="4"/>
        <v>5.1042630966792402E-2</v>
      </c>
      <c r="F93" s="80">
        <v>0.19800505533884771</v>
      </c>
      <c r="G93" s="83">
        <v>1783822</v>
      </c>
      <c r="H93" s="17">
        <v>1688497</v>
      </c>
      <c r="I93" s="10">
        <f t="shared" si="5"/>
        <v>5.6455534122950679E-2</v>
      </c>
      <c r="J93" s="44">
        <v>0.31682812954688733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508047</v>
      </c>
      <c r="D94" s="17">
        <v>476336</v>
      </c>
      <c r="E94" s="33">
        <f t="shared" si="4"/>
        <v>6.6572755365960079E-2</v>
      </c>
      <c r="F94" s="80">
        <v>7.3996593124436405E-2</v>
      </c>
      <c r="G94" s="83">
        <v>2774450</v>
      </c>
      <c r="H94" s="17">
        <v>2745997</v>
      </c>
      <c r="I94" s="33">
        <f t="shared" si="5"/>
        <v>1.0361628217365082E-2</v>
      </c>
      <c r="J94" s="44">
        <v>0.16471690089463786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743703</v>
      </c>
      <c r="D95" s="18">
        <v>752146</v>
      </c>
      <c r="E95" s="43">
        <f t="shared" si="4"/>
        <v>-1.1225214253615667E-2</v>
      </c>
      <c r="F95" s="11">
        <v>0.42788928977914176</v>
      </c>
      <c r="G95" s="84">
        <v>4202461</v>
      </c>
      <c r="H95" s="18">
        <v>4095899</v>
      </c>
      <c r="I95" s="43">
        <f t="shared" si="5"/>
        <v>2.6016754807674625E-2</v>
      </c>
      <c r="J95" s="48">
        <v>0.5364253359090192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4936565</v>
      </c>
      <c r="D96" s="40">
        <v>4778877</v>
      </c>
      <c r="E96" s="41">
        <f t="shared" si="4"/>
        <v>3.2996873533258864E-2</v>
      </c>
      <c r="F96" s="86">
        <v>0.1685159897939823</v>
      </c>
      <c r="G96" s="79">
        <v>25400797</v>
      </c>
      <c r="H96" s="40">
        <v>24911017</v>
      </c>
      <c r="I96" s="41">
        <f t="shared" si="5"/>
        <v>1.966118043273779E-2</v>
      </c>
      <c r="J96" s="45">
        <v>0.27791564411467906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VLOOKUP("&lt;T7Aktualisierung&gt;",Uebersetzungen!$B$4:$E$315,Uebersetzungen!$B$2+1,FALSE)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VLOOKUP("&lt;T7Legende_3&gt;",Uebersetzungen!$B$4:$E$315,Uebersetzungen!$B$2+1,FALSE)</f>
        <v>Daten des August 2025 erscheinen am 3. Oktober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500-000000000000}"/>
    <hyperlink ref="E76" location="Länder_Pajais_Paesi!A1" display="Länder / Pajais / Paese" xr:uid="{00000000-0004-0000-05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VLOOKUP("&lt;T6Titel1&gt;",Uebersetzungen!$B$4:$E$315,Uebersetzungen!$B$2+1,FALSE)</f>
        <v>Hotel- und Kurbetriebe: Logiernächte im Juni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VLOOKUP("&lt;T6SpaltenTitel_1&gt;",Uebersetzungen!$B$4:$E$315,Uebersetzungen!$B$2+1,FALSE)</f>
        <v>Juni 2025</v>
      </c>
      <c r="D12" s="21" t="str">
        <f>VLOOKUP("&lt;T6SpaltenTitel_2&gt;",Uebersetzungen!$B$4:$E$315,Uebersetzungen!$B$2+1,FALSE)</f>
        <v>Juni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VLOOKUP("&lt;T6SpaltenTitel_5&gt;",Uebersetzungen!$B$4:$E$315,Uebersetzungen!$B$2+1,FALSE)</f>
        <v>Januar-Juni 25</v>
      </c>
      <c r="H12" s="22" t="str">
        <f>VLOOKUP("&lt;T6SpaltenTitel_6&gt;",Uebersetzungen!$B$4:$E$315,Uebersetzungen!$B$2+1,FALSE)</f>
        <v>Januar-Juni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14721</v>
      </c>
      <c r="D13" s="52">
        <v>11343</v>
      </c>
      <c r="E13" s="53">
        <f t="shared" ref="E13:E31" si="0">C13/D13-1</f>
        <v>0.2978048135413911</v>
      </c>
      <c r="F13" s="72">
        <v>0.24498909017100523</v>
      </c>
      <c r="G13" s="76">
        <v>242715</v>
      </c>
      <c r="H13" s="52">
        <v>248133</v>
      </c>
      <c r="I13" s="53">
        <f t="shared" ref="I13:I31" si="1">G13/H13-1</f>
        <v>-2.18350642598929E-2</v>
      </c>
      <c r="J13" s="54">
        <v>0.11821579355704248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6110</v>
      </c>
      <c r="D14" s="52">
        <v>4848</v>
      </c>
      <c r="E14" s="53">
        <f t="shared" si="0"/>
        <v>0.26031353135313529</v>
      </c>
      <c r="F14" s="72">
        <v>0.23041604575295005</v>
      </c>
      <c r="G14" s="76">
        <v>30350</v>
      </c>
      <c r="H14" s="52">
        <v>28482</v>
      </c>
      <c r="I14" s="53">
        <f t="shared" si="1"/>
        <v>6.5585281932448503E-2</v>
      </c>
      <c r="J14" s="54">
        <v>6.2184144583035783E-2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4987</v>
      </c>
      <c r="D15" s="52">
        <v>4226</v>
      </c>
      <c r="E15" s="53">
        <f t="shared" si="0"/>
        <v>0.18007572172266917</v>
      </c>
      <c r="F15" s="72">
        <v>0.18681580199904801</v>
      </c>
      <c r="G15" s="76">
        <v>21331</v>
      </c>
      <c r="H15" s="52">
        <v>22041</v>
      </c>
      <c r="I15" s="53">
        <f t="shared" si="1"/>
        <v>-3.22126945238419E-2</v>
      </c>
      <c r="J15" s="54">
        <v>8.7391588086749294E-3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5783</v>
      </c>
      <c r="D16" s="52">
        <v>5687</v>
      </c>
      <c r="E16" s="53">
        <f t="shared" si="0"/>
        <v>1.6880604888341866E-2</v>
      </c>
      <c r="F16" s="72">
        <v>0.22282838535058791</v>
      </c>
      <c r="G16" s="76">
        <v>26528</v>
      </c>
      <c r="H16" s="52">
        <v>27260</v>
      </c>
      <c r="I16" s="53">
        <f t="shared" si="1"/>
        <v>-2.6852531181217887E-2</v>
      </c>
      <c r="J16" s="54">
        <v>0.2480828040461065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25675</v>
      </c>
      <c r="D17" s="52">
        <v>23173</v>
      </c>
      <c r="E17" s="53">
        <f t="shared" si="0"/>
        <v>0.10797048288956979</v>
      </c>
      <c r="F17" s="72">
        <v>0.49405288394395064</v>
      </c>
      <c r="G17" s="76">
        <v>125533</v>
      </c>
      <c r="H17" s="52">
        <v>120140</v>
      </c>
      <c r="I17" s="53">
        <f t="shared" si="1"/>
        <v>4.4889295821541442E-2</v>
      </c>
      <c r="J17" s="54">
        <v>0.48532693449951148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66222</v>
      </c>
      <c r="D18" s="52">
        <v>59962</v>
      </c>
      <c r="E18" s="53">
        <f t="shared" si="0"/>
        <v>0.10439945298689168</v>
      </c>
      <c r="F18" s="72">
        <v>0.28063708900758466</v>
      </c>
      <c r="G18" s="76">
        <v>491976</v>
      </c>
      <c r="H18" s="52">
        <v>507309</v>
      </c>
      <c r="I18" s="53">
        <f t="shared" si="1"/>
        <v>-3.0224182894448948E-2</v>
      </c>
      <c r="J18" s="54">
        <v>7.478697644179233E-2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10582</v>
      </c>
      <c r="D19" s="52">
        <v>7828</v>
      </c>
      <c r="E19" s="53">
        <f t="shared" si="0"/>
        <v>0.35181400102197236</v>
      </c>
      <c r="F19" s="72">
        <v>0.3093617758420153</v>
      </c>
      <c r="G19" s="76">
        <v>70359</v>
      </c>
      <c r="H19" s="52">
        <v>76943</v>
      </c>
      <c r="I19" s="53">
        <f t="shared" si="1"/>
        <v>-8.5569837412110217E-2</v>
      </c>
      <c r="J19" s="54">
        <v>2.5354419754237689E-2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39514</v>
      </c>
      <c r="D20" s="52">
        <v>37876</v>
      </c>
      <c r="E20" s="53">
        <f t="shared" si="0"/>
        <v>4.3246382933783911E-2</v>
      </c>
      <c r="F20" s="72">
        <v>3.4706692573176268E-2</v>
      </c>
      <c r="G20" s="76">
        <v>280561</v>
      </c>
      <c r="H20" s="52">
        <v>271632</v>
      </c>
      <c r="I20" s="53">
        <f t="shared" si="1"/>
        <v>3.2871679330859438E-2</v>
      </c>
      <c r="J20" s="54">
        <v>0.1178833605870222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116825</v>
      </c>
      <c r="D21" s="52">
        <v>107940</v>
      </c>
      <c r="E21" s="53">
        <f t="shared" si="0"/>
        <v>8.2314248656661038E-2</v>
      </c>
      <c r="F21" s="72">
        <v>0.24572938481814965</v>
      </c>
      <c r="G21" s="76">
        <v>888154</v>
      </c>
      <c r="H21" s="52">
        <v>852651</v>
      </c>
      <c r="I21" s="53">
        <f t="shared" si="1"/>
        <v>4.1638372558057135E-2</v>
      </c>
      <c r="J21" s="54">
        <v>0.2183282715632775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27063</v>
      </c>
      <c r="D22" s="52">
        <v>22959</v>
      </c>
      <c r="E22" s="53">
        <f t="shared" si="0"/>
        <v>0.17875343002744026</v>
      </c>
      <c r="F22" s="72">
        <v>7.3885956906472039E-2</v>
      </c>
      <c r="G22" s="76">
        <v>281451</v>
      </c>
      <c r="H22" s="52">
        <v>266858</v>
      </c>
      <c r="I22" s="53">
        <f t="shared" si="1"/>
        <v>5.4684513861304573E-2</v>
      </c>
      <c r="J22" s="54">
        <v>3.8013011536305541E-2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24587</v>
      </c>
      <c r="D23" s="52">
        <v>19256</v>
      </c>
      <c r="E23" s="53">
        <f t="shared" si="0"/>
        <v>0.27684877440797684</v>
      </c>
      <c r="F23" s="72">
        <v>0.20147576231430797</v>
      </c>
      <c r="G23" s="76">
        <v>167776</v>
      </c>
      <c r="H23" s="52">
        <v>175007</v>
      </c>
      <c r="I23" s="53">
        <f t="shared" si="1"/>
        <v>-4.131834726610939E-2</v>
      </c>
      <c r="J23" s="54">
        <v>-1.4973730506177008E-3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6506</v>
      </c>
      <c r="D24" s="52">
        <v>5972</v>
      </c>
      <c r="E24" s="53">
        <f t="shared" si="0"/>
        <v>8.9417280643000696E-2</v>
      </c>
      <c r="F24" s="72">
        <v>0.16795921298290972</v>
      </c>
      <c r="G24" s="76">
        <v>48257</v>
      </c>
      <c r="H24" s="52">
        <v>46594</v>
      </c>
      <c r="I24" s="53">
        <f t="shared" si="1"/>
        <v>3.5691290724127578E-2</v>
      </c>
      <c r="J24" s="54">
        <v>0.21654666828009028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2855</v>
      </c>
      <c r="D25" s="52">
        <v>1606</v>
      </c>
      <c r="E25" s="53">
        <f t="shared" si="0"/>
        <v>0.77770859277708593</v>
      </c>
      <c r="F25" s="72">
        <v>0.45826948615793239</v>
      </c>
      <c r="G25" s="76">
        <v>16744</v>
      </c>
      <c r="H25" s="52">
        <v>11122</v>
      </c>
      <c r="I25" s="53">
        <f t="shared" si="1"/>
        <v>0.50548462506743386</v>
      </c>
      <c r="J25" s="54">
        <v>0.60789736498425162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8533</v>
      </c>
      <c r="D26" s="52">
        <v>7155</v>
      </c>
      <c r="E26" s="53">
        <f t="shared" si="0"/>
        <v>0.19259259259259265</v>
      </c>
      <c r="F26" s="72">
        <v>0.8136796463186533</v>
      </c>
      <c r="G26" s="76">
        <v>55981</v>
      </c>
      <c r="H26" s="52">
        <v>52464</v>
      </c>
      <c r="I26" s="53">
        <f t="shared" si="1"/>
        <v>6.7036444037816389E-2</v>
      </c>
      <c r="J26" s="54">
        <v>0.33898929401747013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7987</v>
      </c>
      <c r="D27" s="52">
        <v>6694</v>
      </c>
      <c r="E27" s="53">
        <f t="shared" si="0"/>
        <v>0.19315805198685387</v>
      </c>
      <c r="F27" s="72">
        <v>9.3031530545215624E-2</v>
      </c>
      <c r="G27" s="77">
        <v>55723</v>
      </c>
      <c r="H27" s="52">
        <v>53220</v>
      </c>
      <c r="I27" s="53">
        <f t="shared" si="1"/>
        <v>4.703119128147315E-2</v>
      </c>
      <c r="J27" s="54">
        <v>2.463251653997367E-2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9233</v>
      </c>
      <c r="D28" s="52">
        <v>8568</v>
      </c>
      <c r="E28" s="53">
        <f t="shared" si="0"/>
        <v>7.7614379084967267E-2</v>
      </c>
      <c r="F28" s="72">
        <v>9.5774982197958769E-2</v>
      </c>
      <c r="G28" s="76">
        <v>29926</v>
      </c>
      <c r="H28" s="52">
        <v>27450</v>
      </c>
      <c r="I28" s="53">
        <f t="shared" si="1"/>
        <v>9.0200364298725022E-2</v>
      </c>
      <c r="J28" s="54">
        <v>0.25096144199578641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3583</v>
      </c>
      <c r="D29" s="55">
        <v>3483</v>
      </c>
      <c r="E29" s="53">
        <f t="shared" si="0"/>
        <v>2.8710881424059753E-2</v>
      </c>
      <c r="F29" s="72">
        <v>-0.13886752547587011</v>
      </c>
      <c r="G29" s="77">
        <v>32198</v>
      </c>
      <c r="H29" s="55">
        <v>33171</v>
      </c>
      <c r="I29" s="53">
        <f t="shared" si="1"/>
        <v>-2.9332850984293501E-2</v>
      </c>
      <c r="J29" s="54">
        <v>-5.5333880999882679E-2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8494</v>
      </c>
      <c r="D30" s="57">
        <v>7743</v>
      </c>
      <c r="E30" s="53">
        <f t="shared" si="0"/>
        <v>9.699083042748291E-2</v>
      </c>
      <c r="F30" s="73">
        <v>7.5543849874642355E-2</v>
      </c>
      <c r="G30" s="78">
        <v>40644</v>
      </c>
      <c r="H30" s="57">
        <v>43270</v>
      </c>
      <c r="I30" s="53">
        <f t="shared" si="1"/>
        <v>-6.0688698867575663E-2</v>
      </c>
      <c r="J30" s="58">
        <v>4.7979537531714689E-2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389260</v>
      </c>
      <c r="D31" s="19">
        <v>346319</v>
      </c>
      <c r="E31" s="12">
        <f t="shared" si="0"/>
        <v>0.12399261952130836</v>
      </c>
      <c r="F31" s="74">
        <v>0.21508419997228079</v>
      </c>
      <c r="G31" s="79">
        <v>2906207</v>
      </c>
      <c r="H31" s="19">
        <v>2863747</v>
      </c>
      <c r="I31" s="12">
        <f t="shared" si="1"/>
        <v>1.4826728757812768E-2</v>
      </c>
      <c r="J31" s="47">
        <v>0.13474491376865294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VLOOKUP("&lt;T6Titel2&gt;",Uebersetzungen!$B$4:$E$315,Uebersetzungen!$B$2+1,FALSE)</f>
        <v>Hotel- und Kurbetriebe: Logiernächte im Juni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VLOOKUP("&lt;T6SpaltenTitel_1&gt;",Uebersetzungen!$B$4:$E$315,Uebersetzungen!$B$2+1,FALSE)</f>
        <v>Juni 2025</v>
      </c>
      <c r="D39" s="21" t="str">
        <f>VLOOKUP("&lt;T6SpaltenTitel_2&gt;",Uebersetzungen!$B$4:$E$315,Uebersetzungen!$B$2+1,FALSE)</f>
        <v>Juni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VLOOKUP("&lt;T6SpaltenTitel_5&gt;",Uebersetzungen!$B$4:$E$315,Uebersetzungen!$B$2+1,FALSE)</f>
        <v>Januar-Juni 25</v>
      </c>
      <c r="H39" s="22" t="str">
        <f>VLOOKUP("&lt;T6SpaltenTitel_6&gt;",Uebersetzungen!$B$4:$E$315,Uebersetzungen!$B$2+1,FALSE)</f>
        <v>Januar-Juni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240754</v>
      </c>
      <c r="D40" s="17">
        <v>214735</v>
      </c>
      <c r="E40" s="10">
        <f>C40/D40-1</f>
        <v>0.12116795119565982</v>
      </c>
      <c r="F40" s="80">
        <v>5.0142546576265046E-2</v>
      </c>
      <c r="G40" s="83">
        <v>1790737</v>
      </c>
      <c r="H40" s="17">
        <v>1782119</v>
      </c>
      <c r="I40" s="10">
        <f>G40/H40-1</f>
        <v>4.8358162389829928E-3</v>
      </c>
      <c r="J40" s="44">
        <v>2.9023648149335779E-2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55778</v>
      </c>
      <c r="D41" s="17">
        <v>45161</v>
      </c>
      <c r="E41" s="10">
        <f t="shared" ref="E41:E74" si="2">C41/D41-1</f>
        <v>0.2350922255928789</v>
      </c>
      <c r="F41" s="80">
        <v>0.45048212446820668</v>
      </c>
      <c r="G41" s="83">
        <v>408998</v>
      </c>
      <c r="H41" s="17">
        <v>438245</v>
      </c>
      <c r="I41" s="10">
        <f t="shared" ref="I41:I74" si="3">G41/H41-1</f>
        <v>-6.6736642745496288E-2</v>
      </c>
      <c r="J41" s="44">
        <v>0.17501891818438287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15381</v>
      </c>
      <c r="D42" s="17">
        <v>13237</v>
      </c>
      <c r="E42" s="10">
        <f t="shared" si="2"/>
        <v>0.16197023494749563</v>
      </c>
      <c r="F42" s="80">
        <v>1.1465055264039297</v>
      </c>
      <c r="G42" s="83">
        <v>89727</v>
      </c>
      <c r="H42" s="17">
        <v>73833</v>
      </c>
      <c r="I42" s="10">
        <f t="shared" si="3"/>
        <v>0.21526959489659103</v>
      </c>
      <c r="J42" s="44">
        <v>1.1074252053945126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11345</v>
      </c>
      <c r="D43" s="17">
        <v>10357</v>
      </c>
      <c r="E43" s="10">
        <f t="shared" si="2"/>
        <v>9.5394419233368666E-2</v>
      </c>
      <c r="F43" s="80">
        <v>0.94690417353102707</v>
      </c>
      <c r="G43" s="83">
        <v>105972</v>
      </c>
      <c r="H43" s="17">
        <v>97905</v>
      </c>
      <c r="I43" s="10">
        <f t="shared" si="3"/>
        <v>8.2396200398345387E-2</v>
      </c>
      <c r="J43" s="44">
        <v>0.50596434184759609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7599</v>
      </c>
      <c r="D44" s="17">
        <v>10485</v>
      </c>
      <c r="E44" s="10">
        <f t="shared" si="2"/>
        <v>-0.27525035765379113</v>
      </c>
      <c r="F44" s="80">
        <v>-0.10085902927325652</v>
      </c>
      <c r="G44" s="83">
        <v>34390</v>
      </c>
      <c r="H44" s="17">
        <v>39978</v>
      </c>
      <c r="I44" s="10">
        <f t="shared" si="3"/>
        <v>-0.13977687728250543</v>
      </c>
      <c r="J44" s="44">
        <v>1.9047506163474281E-2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9863</v>
      </c>
      <c r="D45" s="17">
        <v>7837</v>
      </c>
      <c r="E45" s="10">
        <f t="shared" si="2"/>
        <v>0.25851728977925226</v>
      </c>
      <c r="F45" s="80">
        <v>0.84762654078153687</v>
      </c>
      <c r="G45" s="83">
        <v>55852</v>
      </c>
      <c r="H45" s="17">
        <v>51595</v>
      </c>
      <c r="I45" s="10">
        <f t="shared" si="3"/>
        <v>8.2507994960752118E-2</v>
      </c>
      <c r="J45" s="44">
        <v>0.38088244747395339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4318</v>
      </c>
      <c r="D46" s="17">
        <v>3899</v>
      </c>
      <c r="E46" s="10">
        <f t="shared" si="2"/>
        <v>0.10746345216722242</v>
      </c>
      <c r="F46" s="80">
        <v>0.46900728039735995</v>
      </c>
      <c r="G46" s="83">
        <v>24271</v>
      </c>
      <c r="H46" s="17">
        <v>22022</v>
      </c>
      <c r="I46" s="10">
        <f t="shared" si="3"/>
        <v>0.10212514757969293</v>
      </c>
      <c r="J46" s="44">
        <v>0.36337081933693582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4972</v>
      </c>
      <c r="D47" s="17">
        <v>3483</v>
      </c>
      <c r="E47" s="10">
        <f t="shared" si="2"/>
        <v>0.42750502440424931</v>
      </c>
      <c r="F47" s="80">
        <v>0.62123385939741738</v>
      </c>
      <c r="G47" s="83">
        <v>51468</v>
      </c>
      <c r="H47" s="17">
        <v>49959</v>
      </c>
      <c r="I47" s="10">
        <f t="shared" si="3"/>
        <v>3.0204767909685959E-2</v>
      </c>
      <c r="J47" s="44">
        <v>0.36422914214828706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4343</v>
      </c>
      <c r="D48" s="17">
        <v>3982</v>
      </c>
      <c r="E48" s="10">
        <f t="shared" si="2"/>
        <v>9.0657960823706585E-2</v>
      </c>
      <c r="F48" s="80">
        <v>0.59107561547479492</v>
      </c>
      <c r="G48" s="83">
        <v>36475</v>
      </c>
      <c r="H48" s="17">
        <v>35674</v>
      </c>
      <c r="I48" s="10">
        <f t="shared" si="3"/>
        <v>2.245332735325456E-2</v>
      </c>
      <c r="J48" s="44">
        <v>0.36701621305589494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2493</v>
      </c>
      <c r="D49" s="17">
        <v>2171</v>
      </c>
      <c r="E49" s="10">
        <f t="shared" si="2"/>
        <v>0.14831874712114224</v>
      </c>
      <c r="F49" s="80">
        <v>1.2884156416375987</v>
      </c>
      <c r="G49" s="83">
        <v>15702</v>
      </c>
      <c r="H49" s="17">
        <v>14343</v>
      </c>
      <c r="I49" s="10">
        <f t="shared" si="3"/>
        <v>9.4750052290315745E-2</v>
      </c>
      <c r="J49" s="44">
        <v>1.0390089341367132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4124</v>
      </c>
      <c r="D50" s="17">
        <v>4270</v>
      </c>
      <c r="E50" s="10">
        <f t="shared" si="2"/>
        <v>-3.4192037470725967E-2</v>
      </c>
      <c r="F50" s="80">
        <v>2.0877508235998805</v>
      </c>
      <c r="G50" s="83">
        <v>7814</v>
      </c>
      <c r="H50" s="17">
        <v>8623</v>
      </c>
      <c r="I50" s="10">
        <f t="shared" si="3"/>
        <v>-9.3818856546445506E-2</v>
      </c>
      <c r="J50" s="44">
        <v>1.8445576993083366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1142</v>
      </c>
      <c r="D51" s="17">
        <v>1207</v>
      </c>
      <c r="E51" s="10">
        <f t="shared" si="2"/>
        <v>-5.3852526926263411E-2</v>
      </c>
      <c r="F51" s="80">
        <v>0.90651085141903165</v>
      </c>
      <c r="G51" s="83">
        <v>13825</v>
      </c>
      <c r="H51" s="17">
        <v>11607</v>
      </c>
      <c r="I51" s="10">
        <f t="shared" si="3"/>
        <v>0.19109158266563275</v>
      </c>
      <c r="J51" s="44">
        <v>1.0378832547169816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1074</v>
      </c>
      <c r="D52" s="17">
        <v>960</v>
      </c>
      <c r="E52" s="10">
        <f t="shared" si="2"/>
        <v>0.11874999999999991</v>
      </c>
      <c r="F52" s="80">
        <v>1.0504009163802981</v>
      </c>
      <c r="G52" s="83">
        <v>11082</v>
      </c>
      <c r="H52" s="17">
        <v>7927</v>
      </c>
      <c r="I52" s="10">
        <f t="shared" si="3"/>
        <v>0.39800681216096878</v>
      </c>
      <c r="J52" s="44">
        <v>1.1799512156739316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2726</v>
      </c>
      <c r="D53" s="17">
        <v>2556</v>
      </c>
      <c r="E53" s="10">
        <f t="shared" si="2"/>
        <v>6.6510172143974922E-2</v>
      </c>
      <c r="F53" s="80">
        <v>1.9267768949967792</v>
      </c>
      <c r="G53" s="83">
        <v>6836</v>
      </c>
      <c r="H53" s="17">
        <v>6168</v>
      </c>
      <c r="I53" s="10">
        <f t="shared" si="3"/>
        <v>0.10830090791180291</v>
      </c>
      <c r="J53" s="44">
        <v>1.3787319924838193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1814</v>
      </c>
      <c r="D54" s="17">
        <v>1813</v>
      </c>
      <c r="E54" s="10">
        <f t="shared" si="2"/>
        <v>5.5157198014343933E-4</v>
      </c>
      <c r="F54" s="80">
        <v>1.7123205741626797</v>
      </c>
      <c r="G54" s="83">
        <v>7433</v>
      </c>
      <c r="H54" s="17">
        <v>6915</v>
      </c>
      <c r="I54" s="10">
        <f t="shared" si="3"/>
        <v>7.4909616775126642E-2</v>
      </c>
      <c r="J54" s="44">
        <v>1.1501301706682092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1710</v>
      </c>
      <c r="D55" s="17">
        <v>1138</v>
      </c>
      <c r="E55" s="10">
        <f t="shared" si="2"/>
        <v>0.50263620386643226</v>
      </c>
      <c r="F55" s="80">
        <v>0.87623436471362748</v>
      </c>
      <c r="G55" s="83">
        <v>21080</v>
      </c>
      <c r="H55" s="17">
        <v>20116</v>
      </c>
      <c r="I55" s="10">
        <f t="shared" si="3"/>
        <v>4.7922052097832513E-2</v>
      </c>
      <c r="J55" s="44">
        <v>-0.3355146609170403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992</v>
      </c>
      <c r="D56" s="17">
        <v>821</v>
      </c>
      <c r="E56" s="10">
        <f t="shared" si="2"/>
        <v>0.20828258221680884</v>
      </c>
      <c r="F56" s="80">
        <v>1.5779625779625781</v>
      </c>
      <c r="G56" s="83">
        <v>25767</v>
      </c>
      <c r="H56" s="17">
        <v>20698</v>
      </c>
      <c r="I56" s="10">
        <f t="shared" si="3"/>
        <v>0.2449028891680356</v>
      </c>
      <c r="J56" s="44">
        <v>1.0094048287478943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2119</v>
      </c>
      <c r="D57" s="17">
        <v>2251</v>
      </c>
      <c r="E57" s="10">
        <f t="shared" si="2"/>
        <v>-5.8640604175921762E-2</v>
      </c>
      <c r="F57" s="80">
        <v>1.0938735177865611</v>
      </c>
      <c r="G57" s="83">
        <v>9580</v>
      </c>
      <c r="H57" s="17">
        <v>7528</v>
      </c>
      <c r="I57" s="10">
        <f t="shared" si="3"/>
        <v>0.27258235919234863</v>
      </c>
      <c r="J57" s="44">
        <v>1.53613596653783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982</v>
      </c>
      <c r="D58" s="17">
        <v>876</v>
      </c>
      <c r="E58" s="10">
        <f t="shared" si="2"/>
        <v>0.12100456621004563</v>
      </c>
      <c r="F58" s="80">
        <v>0.32774472687939427</v>
      </c>
      <c r="G58" s="83">
        <v>11873</v>
      </c>
      <c r="H58" s="17">
        <v>11287</v>
      </c>
      <c r="I58" s="10">
        <f t="shared" si="3"/>
        <v>5.191813590856742E-2</v>
      </c>
      <c r="J58" s="44">
        <v>0.2848454679248551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1258</v>
      </c>
      <c r="D59" s="17">
        <v>1059</v>
      </c>
      <c r="E59" s="10">
        <f t="shared" si="2"/>
        <v>0.18791312559017936</v>
      </c>
      <c r="F59" s="80">
        <v>0.7337375964718853</v>
      </c>
      <c r="G59" s="83">
        <v>11062</v>
      </c>
      <c r="H59" s="17">
        <v>10195</v>
      </c>
      <c r="I59" s="10">
        <f t="shared" si="3"/>
        <v>8.5041687101520269E-2</v>
      </c>
      <c r="J59" s="44">
        <v>0.33033480854339059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1053</v>
      </c>
      <c r="D60" s="17">
        <v>1221</v>
      </c>
      <c r="E60" s="10">
        <f t="shared" si="2"/>
        <v>-0.13759213759213762</v>
      </c>
      <c r="F60" s="80">
        <v>0.9770935035674051</v>
      </c>
      <c r="G60" s="83">
        <v>7060</v>
      </c>
      <c r="H60" s="17">
        <v>7194</v>
      </c>
      <c r="I60" s="10">
        <f t="shared" si="3"/>
        <v>-1.8626633305532381E-2</v>
      </c>
      <c r="J60" s="44">
        <v>0.14331983805668025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1036</v>
      </c>
      <c r="D61" s="17">
        <v>774</v>
      </c>
      <c r="E61" s="10">
        <f t="shared" si="2"/>
        <v>0.33850129198966417</v>
      </c>
      <c r="F61" s="80">
        <v>1.0612813370473537</v>
      </c>
      <c r="G61" s="83">
        <v>10106</v>
      </c>
      <c r="H61" s="17">
        <v>8662</v>
      </c>
      <c r="I61" s="10">
        <f t="shared" si="3"/>
        <v>0.16670514892634491</v>
      </c>
      <c r="J61" s="44">
        <v>0.8375881882318712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416</v>
      </c>
      <c r="D62" s="17">
        <v>406</v>
      </c>
      <c r="E62" s="10">
        <f t="shared" si="2"/>
        <v>2.4630541871921263E-2</v>
      </c>
      <c r="F62" s="80">
        <v>0.12129380053908356</v>
      </c>
      <c r="G62" s="83">
        <v>9114</v>
      </c>
      <c r="H62" s="17">
        <v>9652</v>
      </c>
      <c r="I62" s="10">
        <f t="shared" si="3"/>
        <v>-5.5739743058433433E-2</v>
      </c>
      <c r="J62" s="44">
        <v>2.1290900941282054E-2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485</v>
      </c>
      <c r="D63" s="17">
        <v>569</v>
      </c>
      <c r="E63" s="10">
        <f t="shared" si="2"/>
        <v>-0.14762741652021094</v>
      </c>
      <c r="F63" s="80">
        <v>0.7585206671501088</v>
      </c>
      <c r="G63" s="83">
        <v>7172</v>
      </c>
      <c r="H63" s="17">
        <v>5680</v>
      </c>
      <c r="I63" s="10">
        <f t="shared" si="3"/>
        <v>0.26267605633802815</v>
      </c>
      <c r="J63" s="44">
        <v>1.3454771404277586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733</v>
      </c>
      <c r="D66" s="17">
        <v>746</v>
      </c>
      <c r="E66" s="10">
        <f t="shared" si="2"/>
        <v>-1.7426273458445052E-2</v>
      </c>
      <c r="F66" s="80">
        <v>1.5310773480662982</v>
      </c>
      <c r="G66" s="83">
        <v>8764</v>
      </c>
      <c r="H66" s="17">
        <v>8394</v>
      </c>
      <c r="I66" s="10">
        <f t="shared" si="3"/>
        <v>4.4079104121991897E-2</v>
      </c>
      <c r="J66" s="44">
        <v>1.0963498062479067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3249</v>
      </c>
      <c r="D67" s="17">
        <v>2770</v>
      </c>
      <c r="E67" s="10">
        <f t="shared" si="2"/>
        <v>0.17292418772563178</v>
      </c>
      <c r="F67" s="80">
        <v>0.65782222675783242</v>
      </c>
      <c r="G67" s="83">
        <v>31598</v>
      </c>
      <c r="H67" s="17">
        <v>26826</v>
      </c>
      <c r="I67" s="10">
        <f t="shared" si="3"/>
        <v>0.17788712443152166</v>
      </c>
      <c r="J67" s="44">
        <v>0.53818443804034577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2955</v>
      </c>
      <c r="D68" s="17">
        <v>3673</v>
      </c>
      <c r="E68" s="10">
        <f t="shared" si="2"/>
        <v>-0.19548053362374085</v>
      </c>
      <c r="F68" s="80">
        <v>0.43126997965707647</v>
      </c>
      <c r="G68" s="83">
        <v>19648</v>
      </c>
      <c r="H68" s="17">
        <v>21479</v>
      </c>
      <c r="I68" s="10">
        <f t="shared" si="3"/>
        <v>-8.5246054285581296E-2</v>
      </c>
      <c r="J68" s="44">
        <v>0.43347000714984008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1989</v>
      </c>
      <c r="D69" s="17">
        <v>1588</v>
      </c>
      <c r="E69" s="10">
        <f t="shared" si="2"/>
        <v>0.25251889168765751</v>
      </c>
      <c r="F69" s="80">
        <v>0.77114870881567232</v>
      </c>
      <c r="G69" s="83">
        <v>33249</v>
      </c>
      <c r="H69" s="17">
        <v>27495</v>
      </c>
      <c r="I69" s="10">
        <f t="shared" si="3"/>
        <v>0.20927441352973264</v>
      </c>
      <c r="J69" s="44">
        <v>0.22037966878083171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1348</v>
      </c>
      <c r="D70" s="17">
        <v>979</v>
      </c>
      <c r="E70" s="10">
        <f t="shared" si="2"/>
        <v>0.37691521961184882</v>
      </c>
      <c r="F70" s="80">
        <v>2.1146025878003698</v>
      </c>
      <c r="G70" s="83">
        <v>13284</v>
      </c>
      <c r="H70" s="17">
        <v>9870</v>
      </c>
      <c r="I70" s="10">
        <f t="shared" si="3"/>
        <v>0.34589665653495438</v>
      </c>
      <c r="J70" s="44">
        <v>1.4938049110159946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241</v>
      </c>
      <c r="D71" s="17">
        <v>422</v>
      </c>
      <c r="E71" s="10">
        <f t="shared" si="2"/>
        <v>-0.42890995260663511</v>
      </c>
      <c r="F71" s="80">
        <v>6.1674008810572722E-2</v>
      </c>
      <c r="G71" s="83">
        <v>4347</v>
      </c>
      <c r="H71" s="17">
        <v>5158</v>
      </c>
      <c r="I71" s="10">
        <f t="shared" si="3"/>
        <v>-0.15723148507173323</v>
      </c>
      <c r="J71" s="44">
        <v>0.40090235256203677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968</v>
      </c>
      <c r="D72" s="17">
        <v>873</v>
      </c>
      <c r="E72" s="10">
        <f t="shared" si="2"/>
        <v>0.10882016036655218</v>
      </c>
      <c r="F72" s="80">
        <v>1.278719397363465</v>
      </c>
      <c r="G72" s="83">
        <v>21921</v>
      </c>
      <c r="H72" s="17">
        <v>16600</v>
      </c>
      <c r="I72" s="10">
        <f t="shared" si="3"/>
        <v>0.32054216867469876</v>
      </c>
      <c r="J72" s="44">
        <v>0.96312150737928115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389260</v>
      </c>
      <c r="D74" s="40">
        <v>346319</v>
      </c>
      <c r="E74" s="65">
        <f t="shared" si="2"/>
        <v>0.12399261952130836</v>
      </c>
      <c r="F74" s="82">
        <v>0.21508419997228079</v>
      </c>
      <c r="G74" s="79">
        <v>2906207</v>
      </c>
      <c r="H74" s="40">
        <v>2863747</v>
      </c>
      <c r="I74" s="65">
        <f t="shared" si="3"/>
        <v>1.4826728757812768E-2</v>
      </c>
      <c r="J74" s="66">
        <v>0.13474491376865294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VLOOKUP("&lt;T6Titel3&gt;",Uebersetzungen!$B$4:$E$315,Uebersetzungen!$B$2+1,FALSE)</f>
        <v>Hotel- und Kurbetriebe: Logiernächte im Juni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VLOOKUP("&lt;T6SpaltenTitel_1&gt;",Uebersetzungen!$B$4:$E$315,Uebersetzungen!$B$2+1,FALSE)</f>
        <v>Juni 2025</v>
      </c>
      <c r="D82" s="21" t="str">
        <f>VLOOKUP("&lt;T6SpaltenTitel_2&gt;",Uebersetzungen!$B$4:$E$315,Uebersetzungen!$B$2+1,FALSE)</f>
        <v>Juni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VLOOKUP("&lt;T6SpaltenTitel_5&gt;",Uebersetzungen!$B$4:$E$315,Uebersetzungen!$B$2+1,FALSE)</f>
        <v>Januar-Juni 25</v>
      </c>
      <c r="H82" s="22" t="str">
        <f>VLOOKUP("&lt;T6SpaltenTitel_6&gt;",Uebersetzungen!$B$4:$E$315,Uebersetzungen!$B$2+1,FALSE)</f>
        <v>Januar-Juni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130260</v>
      </c>
      <c r="D83" s="17">
        <v>129853</v>
      </c>
      <c r="E83" s="10">
        <f>C83/D83-1</f>
        <v>3.1343134159396158E-3</v>
      </c>
      <c r="F83" s="80">
        <v>0.34983057170392007</v>
      </c>
      <c r="G83" s="83">
        <v>601343</v>
      </c>
      <c r="H83" s="17">
        <v>576010</v>
      </c>
      <c r="I83" s="10">
        <f>G83/H83-1</f>
        <v>4.3980139233693816E-2</v>
      </c>
      <c r="J83" s="44">
        <v>0.39596714360928176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182504</v>
      </c>
      <c r="D84" s="17">
        <v>175411</v>
      </c>
      <c r="E84" s="10">
        <f t="shared" ref="E84:E96" si="4">C84/D84-1</f>
        <v>4.0436460655260964E-2</v>
      </c>
      <c r="F84" s="80">
        <v>0.49135523221322064</v>
      </c>
      <c r="G84" s="83">
        <v>873088</v>
      </c>
      <c r="H84" s="17">
        <v>808331</v>
      </c>
      <c r="I84" s="10">
        <f t="shared" ref="I84:I96" si="5">G84/H84-1</f>
        <v>8.0111983828407007E-2</v>
      </c>
      <c r="J84" s="44">
        <v>0.51379565159646878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659194</v>
      </c>
      <c r="D85" s="17">
        <v>658425</v>
      </c>
      <c r="E85" s="10">
        <f t="shared" si="4"/>
        <v>1.1679386414549242E-3</v>
      </c>
      <c r="F85" s="80">
        <v>0.3937715267984192</v>
      </c>
      <c r="G85" s="83">
        <v>2751618</v>
      </c>
      <c r="H85" s="17">
        <v>2821005</v>
      </c>
      <c r="I85" s="10">
        <f t="shared" si="5"/>
        <v>-2.4596553355984874E-2</v>
      </c>
      <c r="J85" s="44">
        <v>0.29494560379291035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51750</v>
      </c>
      <c r="D86" s="17">
        <v>46997</v>
      </c>
      <c r="E86" s="10">
        <f t="shared" si="4"/>
        <v>0.10113411494350699</v>
      </c>
      <c r="F86" s="80">
        <v>0.22565273409375108</v>
      </c>
      <c r="G86" s="83">
        <v>227022</v>
      </c>
      <c r="H86" s="17">
        <v>222298</v>
      </c>
      <c r="I86" s="10">
        <f t="shared" si="5"/>
        <v>2.1250753493058827E-2</v>
      </c>
      <c r="J86" s="44">
        <v>0.25091881276717221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362602</v>
      </c>
      <c r="D87" s="17">
        <v>379296</v>
      </c>
      <c r="E87" s="10">
        <f t="shared" si="4"/>
        <v>-4.4013119041592885E-2</v>
      </c>
      <c r="F87" s="80">
        <v>0.53642441350520631</v>
      </c>
      <c r="G87" s="83">
        <v>1802905</v>
      </c>
      <c r="H87" s="17">
        <v>1796910</v>
      </c>
      <c r="I87" s="10">
        <f t="shared" si="5"/>
        <v>3.3362828410994361E-3</v>
      </c>
      <c r="J87" s="44">
        <v>0.55405214373955491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389260</v>
      </c>
      <c r="D88" s="62">
        <v>346319</v>
      </c>
      <c r="E88" s="63">
        <f t="shared" si="4"/>
        <v>0.12399261952130836</v>
      </c>
      <c r="F88" s="85">
        <v>0.21508419997228079</v>
      </c>
      <c r="G88" s="87">
        <v>2906207</v>
      </c>
      <c r="H88" s="62">
        <v>2863747</v>
      </c>
      <c r="I88" s="63">
        <f t="shared" si="5"/>
        <v>1.4826728757812768E-2</v>
      </c>
      <c r="J88" s="64">
        <v>0.13474491376865294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68703</v>
      </c>
      <c r="D89" s="17">
        <v>67142</v>
      </c>
      <c r="E89" s="10">
        <f t="shared" si="4"/>
        <v>2.3249232968931555E-2</v>
      </c>
      <c r="F89" s="80">
        <v>0.1412117245663751</v>
      </c>
      <c r="G89" s="83">
        <v>282563</v>
      </c>
      <c r="H89" s="17">
        <v>278588</v>
      </c>
      <c r="I89" s="10">
        <f t="shared" si="5"/>
        <v>1.4268381983430833E-2</v>
      </c>
      <c r="J89" s="44">
        <v>0.18393343629511882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445708</v>
      </c>
      <c r="D90" s="17">
        <v>437134</v>
      </c>
      <c r="E90" s="10">
        <f t="shared" si="4"/>
        <v>1.9614122900529329E-2</v>
      </c>
      <c r="F90" s="80">
        <v>0.40787092168562422</v>
      </c>
      <c r="G90" s="83">
        <v>1909555</v>
      </c>
      <c r="H90" s="17">
        <v>1862487</v>
      </c>
      <c r="I90" s="10">
        <f t="shared" si="5"/>
        <v>2.5271585788249729E-2</v>
      </c>
      <c r="J90" s="44">
        <v>0.35475167503355753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206008</v>
      </c>
      <c r="D91" s="17">
        <v>199331</v>
      </c>
      <c r="E91" s="10">
        <f t="shared" si="4"/>
        <v>3.3497047624303278E-2</v>
      </c>
      <c r="F91" s="80">
        <v>0.1088635666341915</v>
      </c>
      <c r="G91" s="83">
        <v>929757</v>
      </c>
      <c r="H91" s="17">
        <v>922865</v>
      </c>
      <c r="I91" s="10">
        <f t="shared" si="5"/>
        <v>7.468047872657424E-3</v>
      </c>
      <c r="J91" s="44">
        <v>0.1565479589056944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286139</v>
      </c>
      <c r="D92" s="17">
        <v>273097</v>
      </c>
      <c r="E92" s="10">
        <f t="shared" si="4"/>
        <v>4.7755925550262424E-2</v>
      </c>
      <c r="F92" s="80">
        <v>5.3239309292861359E-2</v>
      </c>
      <c r="G92" s="83">
        <v>1025426</v>
      </c>
      <c r="H92" s="17">
        <v>1015020</v>
      </c>
      <c r="I92" s="10">
        <f t="shared" si="5"/>
        <v>1.0252014738625803E-2</v>
      </c>
      <c r="J92" s="44">
        <v>4.3698871095363412E-2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324306</v>
      </c>
      <c r="D93" s="17">
        <v>302739</v>
      </c>
      <c r="E93" s="10">
        <f t="shared" si="4"/>
        <v>7.1239582610763685E-2</v>
      </c>
      <c r="F93" s="80">
        <v>0.42128762858405033</v>
      </c>
      <c r="G93" s="83">
        <v>1429587</v>
      </c>
      <c r="H93" s="17">
        <v>1351465</v>
      </c>
      <c r="I93" s="10">
        <f t="shared" si="5"/>
        <v>5.7805418564298661E-2</v>
      </c>
      <c r="J93" s="44">
        <v>0.35000679920071587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331414</v>
      </c>
      <c r="D94" s="17">
        <v>316370</v>
      </c>
      <c r="E94" s="33">
        <f t="shared" si="4"/>
        <v>4.7551917059139637E-2</v>
      </c>
      <c r="F94" s="80">
        <v>0.35431216189598946</v>
      </c>
      <c r="G94" s="83">
        <v>2266403</v>
      </c>
      <c r="H94" s="17">
        <v>2269661</v>
      </c>
      <c r="I94" s="33">
        <f t="shared" si="5"/>
        <v>-1.435456660708323E-3</v>
      </c>
      <c r="J94" s="44">
        <v>0.1871966272429626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727084</v>
      </c>
      <c r="D95" s="18">
        <v>745602</v>
      </c>
      <c r="E95" s="43">
        <f t="shared" si="4"/>
        <v>-2.4836306769563388E-2</v>
      </c>
      <c r="F95" s="11">
        <v>0.50990273777909212</v>
      </c>
      <c r="G95" s="84">
        <v>3458758</v>
      </c>
      <c r="H95" s="18">
        <v>3343753</v>
      </c>
      <c r="I95" s="43">
        <f t="shared" si="5"/>
        <v>3.4393987833431394E-2</v>
      </c>
      <c r="J95" s="48">
        <v>0.56195393832763041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4164932</v>
      </c>
      <c r="D96" s="40">
        <v>4077716</v>
      </c>
      <c r="E96" s="41">
        <f t="shared" si="4"/>
        <v>2.138844392301964E-2</v>
      </c>
      <c r="F96" s="86">
        <v>0.35265047174983155</v>
      </c>
      <c r="G96" s="79">
        <v>20464232</v>
      </c>
      <c r="H96" s="40">
        <v>20132140</v>
      </c>
      <c r="I96" s="41">
        <f t="shared" si="5"/>
        <v>1.6495613481726235E-2</v>
      </c>
      <c r="J96" s="45">
        <v>0.30744361943313536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VLOOKUP("&lt;T6Aktualisierung&gt;",Uebersetzungen!$B$4:$E$315,Uebersetzungen!$B$2+1,FALSE)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VLOOKUP("&lt;T6Legende_3&gt;",Uebersetzungen!$B$4:$E$315,Uebersetzungen!$B$2+1,FALSE)</f>
        <v>Daten des Juli 2025 erscheinen am 5. September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600-000000000000}"/>
    <hyperlink ref="E76" location="Länder_Pajais_Paesi!A1" display="Länder / Pajais / Paese" xr:uid="{00000000-0004-0000-06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VLOOKUP("&lt;T5Titel1&gt;",Uebersetzungen!$B$4:$E$315,Uebersetzungen!$B$2+1,FALSE)</f>
        <v>Hotel- und Kurbetriebe: Logiernächte im Mai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VLOOKUP("&lt;T5SpaltenTitel_1&gt;",Uebersetzungen!$B$4:$E$315,Uebersetzungen!$B$2+1,FALSE)</f>
        <v>Mai 2025</v>
      </c>
      <c r="D12" s="21" t="str">
        <f>VLOOKUP("&lt;T5SpaltenTitel_2&gt;",Uebersetzungen!$B$4:$E$315,Uebersetzungen!$B$2+1,FALSE)</f>
        <v>Mai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VLOOKUP("&lt;T5SpaltenTitel_5&gt;",Uebersetzungen!$B$4:$E$315,Uebersetzungen!$B$2+1,FALSE)</f>
        <v>Januar-Mai 25</v>
      </c>
      <c r="H12" s="22" t="str">
        <f>VLOOKUP("&lt;T5SpaltenTitel_6&gt;",Uebersetzungen!$B$4:$E$315,Uebersetzungen!$B$2+1,FALSE)</f>
        <v>Januar-Mai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1842</v>
      </c>
      <c r="D13" s="52">
        <v>1117</v>
      </c>
      <c r="E13" s="53">
        <f t="shared" ref="E13:E31" si="0">C13/D13-1</f>
        <v>0.64905998209489701</v>
      </c>
      <c r="F13" s="72">
        <v>0.99264387710947655</v>
      </c>
      <c r="G13" s="76">
        <v>227994</v>
      </c>
      <c r="H13" s="52">
        <v>236790</v>
      </c>
      <c r="I13" s="53">
        <f t="shared" ref="I13:I31" si="1">G13/H13-1</f>
        <v>-3.7146838971240381E-2</v>
      </c>
      <c r="J13" s="54">
        <v>0.11091187800697178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3475</v>
      </c>
      <c r="D14" s="52">
        <v>3089</v>
      </c>
      <c r="E14" s="53">
        <f t="shared" si="0"/>
        <v>0.12495953382971825</v>
      </c>
      <c r="F14" s="72">
        <v>0.27701014258415424</v>
      </c>
      <c r="G14" s="76">
        <v>24240</v>
      </c>
      <c r="H14" s="52">
        <v>23634</v>
      </c>
      <c r="I14" s="53">
        <f t="shared" si="1"/>
        <v>2.564102564102555E-2</v>
      </c>
      <c r="J14" s="54">
        <v>2.6796682396197591E-2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1203</v>
      </c>
      <c r="D15" s="52">
        <v>1341</v>
      </c>
      <c r="E15" s="53">
        <f t="shared" si="0"/>
        <v>-0.1029082774049217</v>
      </c>
      <c r="F15" s="72">
        <v>1.160443995963667E-2</v>
      </c>
      <c r="G15" s="76">
        <v>16344</v>
      </c>
      <c r="H15" s="52">
        <v>17815</v>
      </c>
      <c r="I15" s="53">
        <f t="shared" si="1"/>
        <v>-8.2570867246702262E-2</v>
      </c>
      <c r="J15" s="54">
        <v>-3.542215035233276E-2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5474</v>
      </c>
      <c r="D16" s="52">
        <v>5158</v>
      </c>
      <c r="E16" s="53">
        <f t="shared" si="0"/>
        <v>6.1264055835595244E-2</v>
      </c>
      <c r="F16" s="72">
        <v>0.32094594594594605</v>
      </c>
      <c r="G16" s="76">
        <v>20745</v>
      </c>
      <c r="H16" s="52">
        <v>21573</v>
      </c>
      <c r="I16" s="53">
        <f t="shared" si="1"/>
        <v>-3.8381309970796806E-2</v>
      </c>
      <c r="J16" s="54">
        <v>0.25530987909813718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23233</v>
      </c>
      <c r="D17" s="52">
        <v>23061</v>
      </c>
      <c r="E17" s="53">
        <f t="shared" si="0"/>
        <v>7.4584796843155665E-3</v>
      </c>
      <c r="F17" s="72">
        <v>0.53795742201980623</v>
      </c>
      <c r="G17" s="76">
        <v>99858</v>
      </c>
      <c r="H17" s="52">
        <v>96967</v>
      </c>
      <c r="I17" s="53">
        <f t="shared" si="1"/>
        <v>2.981426670929288E-2</v>
      </c>
      <c r="J17" s="54">
        <v>0.48309980900214788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26714</v>
      </c>
      <c r="D18" s="52">
        <v>26114</v>
      </c>
      <c r="E18" s="53">
        <f t="shared" si="0"/>
        <v>2.2976181358658199E-2</v>
      </c>
      <c r="F18" s="72">
        <v>0.18426769042531488</v>
      </c>
      <c r="G18" s="76">
        <v>425754</v>
      </c>
      <c r="H18" s="52">
        <v>447347</v>
      </c>
      <c r="I18" s="53">
        <f t="shared" si="1"/>
        <v>-4.8269017116466584E-2</v>
      </c>
      <c r="J18" s="54">
        <v>4.8570976813191891E-2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3445</v>
      </c>
      <c r="D19" s="52">
        <v>4027</v>
      </c>
      <c r="E19" s="53">
        <f t="shared" si="0"/>
        <v>-0.14452445989570395</v>
      </c>
      <c r="F19" s="72">
        <v>-0.14469437410000496</v>
      </c>
      <c r="G19" s="76">
        <v>59777</v>
      </c>
      <c r="H19" s="52">
        <v>69115</v>
      </c>
      <c r="I19" s="53">
        <f t="shared" si="1"/>
        <v>-0.13510815307820301</v>
      </c>
      <c r="J19" s="54">
        <v>-1.2560830164493497E-2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13346</v>
      </c>
      <c r="D20" s="52">
        <v>12721</v>
      </c>
      <c r="E20" s="53">
        <f t="shared" si="0"/>
        <v>4.9131357597673064E-2</v>
      </c>
      <c r="F20" s="72">
        <v>3.2323536044500667E-3</v>
      </c>
      <c r="G20" s="76">
        <v>241047</v>
      </c>
      <c r="H20" s="52">
        <v>233756</v>
      </c>
      <c r="I20" s="53">
        <f t="shared" si="1"/>
        <v>3.1190643234826121E-2</v>
      </c>
      <c r="J20" s="54">
        <v>0.1328109946772964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42810</v>
      </c>
      <c r="D21" s="52">
        <v>39327</v>
      </c>
      <c r="E21" s="53">
        <f t="shared" si="0"/>
        <v>8.8565107941109167E-2</v>
      </c>
      <c r="F21" s="72">
        <v>0.54613484347235652</v>
      </c>
      <c r="G21" s="76">
        <v>771329</v>
      </c>
      <c r="H21" s="52">
        <v>744711</v>
      </c>
      <c r="I21" s="53">
        <f t="shared" si="1"/>
        <v>3.574272435884529E-2</v>
      </c>
      <c r="J21" s="54">
        <v>0.21428288059323641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20473</v>
      </c>
      <c r="D22" s="52">
        <v>16121</v>
      </c>
      <c r="E22" s="53">
        <f t="shared" si="0"/>
        <v>0.26995843930277275</v>
      </c>
      <c r="F22" s="72">
        <v>0.17694739867778098</v>
      </c>
      <c r="G22" s="76">
        <v>254388</v>
      </c>
      <c r="H22" s="52">
        <v>243899</v>
      </c>
      <c r="I22" s="53">
        <f t="shared" si="1"/>
        <v>4.3005506377640002E-2</v>
      </c>
      <c r="J22" s="54">
        <v>3.4337224478842465E-2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8519</v>
      </c>
      <c r="D23" s="52">
        <v>9871</v>
      </c>
      <c r="E23" s="53">
        <f t="shared" si="0"/>
        <v>-0.13696687265727892</v>
      </c>
      <c r="F23" s="72">
        <v>0.1101120667187907</v>
      </c>
      <c r="G23" s="76">
        <v>143189</v>
      </c>
      <c r="H23" s="52">
        <v>155751</v>
      </c>
      <c r="I23" s="53">
        <f t="shared" si="1"/>
        <v>-8.0654377821009149E-2</v>
      </c>
      <c r="J23" s="54">
        <v>-2.9645522337486852E-2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5056</v>
      </c>
      <c r="D24" s="52">
        <v>5025</v>
      </c>
      <c r="E24" s="53">
        <f t="shared" si="0"/>
        <v>6.1691542288557777E-3</v>
      </c>
      <c r="F24" s="72">
        <v>0.14347747421747781</v>
      </c>
      <c r="G24" s="76">
        <v>41751</v>
      </c>
      <c r="H24" s="52">
        <v>40622</v>
      </c>
      <c r="I24" s="53">
        <f t="shared" si="1"/>
        <v>2.779282162375063E-2</v>
      </c>
      <c r="J24" s="54">
        <v>0.22448440909410849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1497</v>
      </c>
      <c r="D25" s="52">
        <v>1256</v>
      </c>
      <c r="E25" s="53">
        <f t="shared" si="0"/>
        <v>0.19187898089171984</v>
      </c>
      <c r="F25" s="72">
        <v>0.28255654557916365</v>
      </c>
      <c r="G25" s="76">
        <v>13889</v>
      </c>
      <c r="H25" s="52">
        <v>9516</v>
      </c>
      <c r="I25" s="53">
        <f t="shared" si="1"/>
        <v>0.45954182429592261</v>
      </c>
      <c r="J25" s="54">
        <v>0.64254121431443512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4375</v>
      </c>
      <c r="D26" s="52">
        <v>4162</v>
      </c>
      <c r="E26" s="53">
        <f t="shared" si="0"/>
        <v>5.1177318596828503E-2</v>
      </c>
      <c r="F26" s="72">
        <v>0.71045429666119309</v>
      </c>
      <c r="G26" s="76">
        <v>47448</v>
      </c>
      <c r="H26" s="52">
        <v>45309</v>
      </c>
      <c r="I26" s="53">
        <f t="shared" si="1"/>
        <v>4.7209163742302884E-2</v>
      </c>
      <c r="J26" s="54">
        <v>0.27879774469323726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4215</v>
      </c>
      <c r="D27" s="52">
        <v>4458</v>
      </c>
      <c r="E27" s="53">
        <f t="shared" si="0"/>
        <v>-5.4508748317631195E-2</v>
      </c>
      <c r="F27" s="72">
        <v>-5.9781396386348384E-2</v>
      </c>
      <c r="G27" s="77">
        <v>47736</v>
      </c>
      <c r="H27" s="52">
        <v>46526</v>
      </c>
      <c r="I27" s="53">
        <f t="shared" si="1"/>
        <v>2.6006963848170805E-2</v>
      </c>
      <c r="J27" s="54">
        <v>1.401557474902404E-2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6316</v>
      </c>
      <c r="D28" s="52">
        <v>6183</v>
      </c>
      <c r="E28" s="53">
        <f t="shared" si="0"/>
        <v>2.1510593562995339E-2</v>
      </c>
      <c r="F28" s="72">
        <v>0.1207324863368584</v>
      </c>
      <c r="G28" s="76">
        <v>20693</v>
      </c>
      <c r="H28" s="52">
        <v>18882</v>
      </c>
      <c r="I28" s="53">
        <f t="shared" si="1"/>
        <v>9.591145005825652E-2</v>
      </c>
      <c r="J28" s="54">
        <v>0.33534240210629562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2946</v>
      </c>
      <c r="D29" s="55">
        <v>3843</v>
      </c>
      <c r="E29" s="53">
        <f t="shared" si="0"/>
        <v>-0.23341139734582361</v>
      </c>
      <c r="F29" s="72">
        <v>-0.21027235685181211</v>
      </c>
      <c r="G29" s="77">
        <v>28615</v>
      </c>
      <c r="H29" s="55">
        <v>29688</v>
      </c>
      <c r="I29" s="53">
        <f t="shared" si="1"/>
        <v>-3.6142549178119099E-2</v>
      </c>
      <c r="J29" s="54">
        <v>-4.3718586247460167E-2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5059</v>
      </c>
      <c r="D30" s="57">
        <v>5448</v>
      </c>
      <c r="E30" s="53">
        <f t="shared" si="0"/>
        <v>-7.1402349486049954E-2</v>
      </c>
      <c r="F30" s="73">
        <v>9.3506830364862514E-2</v>
      </c>
      <c r="G30" s="78">
        <v>32150</v>
      </c>
      <c r="H30" s="57">
        <v>35527</v>
      </c>
      <c r="I30" s="53">
        <f t="shared" si="1"/>
        <v>-9.5054465617699258E-2</v>
      </c>
      <c r="J30" s="58">
        <v>4.0931431272623664E-2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179998</v>
      </c>
      <c r="D31" s="19">
        <v>172322</v>
      </c>
      <c r="E31" s="12">
        <f t="shared" si="0"/>
        <v>4.4544515500052118E-2</v>
      </c>
      <c r="F31" s="74">
        <v>0.25562946799783481</v>
      </c>
      <c r="G31" s="79">
        <v>2516947</v>
      </c>
      <c r="H31" s="19">
        <v>2517428</v>
      </c>
      <c r="I31" s="12">
        <f t="shared" si="1"/>
        <v>-1.9106802657320454E-4</v>
      </c>
      <c r="J31" s="47">
        <v>0.12325895658336439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VLOOKUP("&lt;T5Titel2&gt;",Uebersetzungen!$B$4:$E$315,Uebersetzungen!$B$2+1,FALSE)</f>
        <v>Hotel- und Kurbetriebe: Logiernächte im Mai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VLOOKUP("&lt;T5SpaltenTitel_1&gt;",Uebersetzungen!$B$4:$E$315,Uebersetzungen!$B$2+1,FALSE)</f>
        <v>Mai 2025</v>
      </c>
      <c r="D39" s="21" t="str">
        <f>VLOOKUP("&lt;T5SpaltenTitel_2&gt;",Uebersetzungen!$B$4:$E$315,Uebersetzungen!$B$2+1,FALSE)</f>
        <v>Mai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VLOOKUP("&lt;T5SpaltenTitel_5&gt;",Uebersetzungen!$B$4:$E$315,Uebersetzungen!$B$2+1,FALSE)</f>
        <v>Januar-Mai 25</v>
      </c>
      <c r="H39" s="22" t="str">
        <f>VLOOKUP("&lt;T5SpaltenTitel_6&gt;",Uebersetzungen!$B$4:$E$315,Uebersetzungen!$B$2+1,FALSE)</f>
        <v>Januar-Mai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106965</v>
      </c>
      <c r="D40" s="17">
        <v>102198</v>
      </c>
      <c r="E40" s="10">
        <f>C40/D40-1</f>
        <v>4.6644748429519156E-2</v>
      </c>
      <c r="F40" s="80">
        <v>3.0191601287486769E-2</v>
      </c>
      <c r="G40" s="83">
        <v>1549983</v>
      </c>
      <c r="H40" s="17">
        <v>1567384</v>
      </c>
      <c r="I40" s="10">
        <f>G40/H40-1</f>
        <v>-1.1101938006257583E-2</v>
      </c>
      <c r="J40" s="44">
        <v>2.5819294456252972E-2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22056</v>
      </c>
      <c r="D41" s="17">
        <v>23249</v>
      </c>
      <c r="E41" s="10">
        <f t="shared" ref="E41:E74" si="2">C41/D41-1</f>
        <v>-5.1314035012258619E-2</v>
      </c>
      <c r="F41" s="80">
        <v>0.56294732068198261</v>
      </c>
      <c r="G41" s="83">
        <v>353220</v>
      </c>
      <c r="H41" s="17">
        <v>393084</v>
      </c>
      <c r="I41" s="10">
        <f t="shared" ref="I41:I74" si="3">G41/H41-1</f>
        <v>-0.10141343834905514</v>
      </c>
      <c r="J41" s="44">
        <v>0.14080672301476316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8474</v>
      </c>
      <c r="D42" s="17">
        <v>7596</v>
      </c>
      <c r="E42" s="10">
        <f t="shared" si="2"/>
        <v>0.11558715113217488</v>
      </c>
      <c r="F42" s="80">
        <v>1.0906937728214743</v>
      </c>
      <c r="G42" s="83">
        <v>74346</v>
      </c>
      <c r="H42" s="17">
        <v>60596</v>
      </c>
      <c r="I42" s="10">
        <f t="shared" si="3"/>
        <v>0.22691266750280548</v>
      </c>
      <c r="J42" s="44">
        <v>1.0995170992064613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7259</v>
      </c>
      <c r="D43" s="17">
        <v>7092</v>
      </c>
      <c r="E43" s="10">
        <f t="shared" si="2"/>
        <v>2.3547659334461457E-2</v>
      </c>
      <c r="F43" s="80">
        <v>1.0494071146245059</v>
      </c>
      <c r="G43" s="83">
        <v>94627</v>
      </c>
      <c r="H43" s="17">
        <v>87548</v>
      </c>
      <c r="I43" s="10">
        <f t="shared" si="3"/>
        <v>8.0858500479736861E-2</v>
      </c>
      <c r="J43" s="44">
        <v>0.46615329790365823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818</v>
      </c>
      <c r="D44" s="17">
        <v>1423</v>
      </c>
      <c r="E44" s="10">
        <f t="shared" si="2"/>
        <v>-0.42515811665495429</v>
      </c>
      <c r="F44" s="80">
        <v>-6.3644688644688641E-2</v>
      </c>
      <c r="G44" s="83">
        <v>26791</v>
      </c>
      <c r="H44" s="17">
        <v>29493</v>
      </c>
      <c r="I44" s="10">
        <f t="shared" si="3"/>
        <v>-9.1614959481911007E-2</v>
      </c>
      <c r="J44" s="44">
        <v>5.9108626728547886E-2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3877</v>
      </c>
      <c r="D45" s="17">
        <v>3192</v>
      </c>
      <c r="E45" s="10">
        <f t="shared" si="2"/>
        <v>0.21459899749373434</v>
      </c>
      <c r="F45" s="80">
        <v>0.96802030456852783</v>
      </c>
      <c r="G45" s="83">
        <v>45989</v>
      </c>
      <c r="H45" s="17">
        <v>43758</v>
      </c>
      <c r="I45" s="10">
        <f t="shared" si="3"/>
        <v>5.0984962749668572E-2</v>
      </c>
      <c r="J45" s="44">
        <v>0.30991443643116745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2373</v>
      </c>
      <c r="D46" s="17">
        <v>2101</v>
      </c>
      <c r="E46" s="10">
        <f t="shared" si="2"/>
        <v>0.12946216087577334</v>
      </c>
      <c r="F46" s="80">
        <v>0.79446460980036293</v>
      </c>
      <c r="G46" s="83">
        <v>19953</v>
      </c>
      <c r="H46" s="17">
        <v>18123</v>
      </c>
      <c r="I46" s="10">
        <f t="shared" si="3"/>
        <v>0.10097665949346135</v>
      </c>
      <c r="J46" s="44">
        <v>0.34247920983933056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3072</v>
      </c>
      <c r="D47" s="17">
        <v>2393</v>
      </c>
      <c r="E47" s="10">
        <f t="shared" si="2"/>
        <v>0.28374425407438353</v>
      </c>
      <c r="F47" s="80">
        <v>0.87522890977902579</v>
      </c>
      <c r="G47" s="83">
        <v>46496</v>
      </c>
      <c r="H47" s="17">
        <v>46476</v>
      </c>
      <c r="I47" s="10">
        <f t="shared" si="3"/>
        <v>4.303296324985606E-4</v>
      </c>
      <c r="J47" s="44">
        <v>0.34148874783612237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1873</v>
      </c>
      <c r="D48" s="17">
        <v>1637</v>
      </c>
      <c r="E48" s="10">
        <f t="shared" si="2"/>
        <v>0.14416615760537566</v>
      </c>
      <c r="F48" s="80">
        <v>0.59404255319148946</v>
      </c>
      <c r="G48" s="83">
        <v>32132</v>
      </c>
      <c r="H48" s="17">
        <v>31692</v>
      </c>
      <c r="I48" s="10">
        <f t="shared" si="3"/>
        <v>1.388362993815484E-2</v>
      </c>
      <c r="J48" s="44">
        <v>0.34148276178786419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1845</v>
      </c>
      <c r="D49" s="17">
        <v>1763</v>
      </c>
      <c r="E49" s="10">
        <f t="shared" si="2"/>
        <v>4.6511627906976827E-2</v>
      </c>
      <c r="F49" s="80">
        <v>1.0350761085373925</v>
      </c>
      <c r="G49" s="83">
        <v>13209</v>
      </c>
      <c r="H49" s="17">
        <v>12172</v>
      </c>
      <c r="I49" s="10">
        <f t="shared" si="3"/>
        <v>8.5195530726257074E-2</v>
      </c>
      <c r="J49" s="44">
        <v>0.99791269625192869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2463</v>
      </c>
      <c r="D50" s="17">
        <v>2590</v>
      </c>
      <c r="E50" s="10">
        <f t="shared" si="2"/>
        <v>-4.9034749034749026E-2</v>
      </c>
      <c r="F50" s="80">
        <v>2.1829930214525719</v>
      </c>
      <c r="G50" s="83">
        <v>3690</v>
      </c>
      <c r="H50" s="17">
        <v>4353</v>
      </c>
      <c r="I50" s="10">
        <f t="shared" si="3"/>
        <v>-0.15230875258442456</v>
      </c>
      <c r="J50" s="44">
        <v>1.614425393226584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1356</v>
      </c>
      <c r="D51" s="17">
        <v>1048</v>
      </c>
      <c r="E51" s="10">
        <f t="shared" si="2"/>
        <v>0.29389312977099236</v>
      </c>
      <c r="F51" s="80">
        <v>2.5609243697478989</v>
      </c>
      <c r="G51" s="83">
        <v>12683</v>
      </c>
      <c r="H51" s="17">
        <v>10400</v>
      </c>
      <c r="I51" s="10">
        <f t="shared" si="3"/>
        <v>0.21951923076923086</v>
      </c>
      <c r="J51" s="44">
        <v>1.0506063055780115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978</v>
      </c>
      <c r="D52" s="17">
        <v>804</v>
      </c>
      <c r="E52" s="10">
        <f t="shared" si="2"/>
        <v>0.21641791044776126</v>
      </c>
      <c r="F52" s="80">
        <v>1.6957001102535831</v>
      </c>
      <c r="G52" s="83">
        <v>10008</v>
      </c>
      <c r="H52" s="17">
        <v>6967</v>
      </c>
      <c r="I52" s="10">
        <f t="shared" si="3"/>
        <v>0.43648629252188886</v>
      </c>
      <c r="J52" s="44">
        <v>1.1948331067152069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973</v>
      </c>
      <c r="D53" s="17">
        <v>978</v>
      </c>
      <c r="E53" s="10">
        <f t="shared" si="2"/>
        <v>-5.1124744376278564E-3</v>
      </c>
      <c r="F53" s="80">
        <v>1.5591793792740662</v>
      </c>
      <c r="G53" s="83">
        <v>4110</v>
      </c>
      <c r="H53" s="17">
        <v>3612</v>
      </c>
      <c r="I53" s="10">
        <f t="shared" si="3"/>
        <v>0.13787375415282388</v>
      </c>
      <c r="J53" s="44">
        <v>1.1159390444810544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969</v>
      </c>
      <c r="D54" s="17">
        <v>1244</v>
      </c>
      <c r="E54" s="10">
        <f t="shared" si="2"/>
        <v>-0.22106109324758838</v>
      </c>
      <c r="F54" s="80">
        <v>1.5840000000000001</v>
      </c>
      <c r="G54" s="83">
        <v>5619</v>
      </c>
      <c r="H54" s="17">
        <v>5102</v>
      </c>
      <c r="I54" s="10">
        <f t="shared" si="3"/>
        <v>0.10133281066248534</v>
      </c>
      <c r="J54" s="44">
        <v>1.0152786744136004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1042</v>
      </c>
      <c r="D55" s="17">
        <v>1310</v>
      </c>
      <c r="E55" s="10">
        <f t="shared" si="2"/>
        <v>-0.20458015267175578</v>
      </c>
      <c r="F55" s="80">
        <v>0.75243861419441638</v>
      </c>
      <c r="G55" s="83">
        <v>19370</v>
      </c>
      <c r="H55" s="17">
        <v>18978</v>
      </c>
      <c r="I55" s="10">
        <f t="shared" si="3"/>
        <v>2.065549583728532E-2</v>
      </c>
      <c r="J55" s="44">
        <v>-0.37135698614843382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1357</v>
      </c>
      <c r="D56" s="17">
        <v>1106</v>
      </c>
      <c r="E56" s="10">
        <f t="shared" si="2"/>
        <v>0.22694394213381552</v>
      </c>
      <c r="F56" s="80">
        <v>1.8983340452797952</v>
      </c>
      <c r="G56" s="83">
        <v>24775</v>
      </c>
      <c r="H56" s="17">
        <v>19877</v>
      </c>
      <c r="I56" s="10">
        <f t="shared" si="3"/>
        <v>0.24641545504854867</v>
      </c>
      <c r="J56" s="44">
        <v>0.99181566760998185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2675</v>
      </c>
      <c r="D57" s="17">
        <v>1557</v>
      </c>
      <c r="E57" s="10">
        <f t="shared" si="2"/>
        <v>0.71804752729608223</v>
      </c>
      <c r="F57" s="80">
        <v>2.4912555468546072</v>
      </c>
      <c r="G57" s="83">
        <v>7461</v>
      </c>
      <c r="H57" s="17">
        <v>5277</v>
      </c>
      <c r="I57" s="10">
        <f t="shared" si="3"/>
        <v>0.41387151790790222</v>
      </c>
      <c r="J57" s="44">
        <v>1.6979822087220655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582</v>
      </c>
      <c r="D58" s="17">
        <v>347</v>
      </c>
      <c r="E58" s="10">
        <f t="shared" si="2"/>
        <v>0.67723342939481257</v>
      </c>
      <c r="F58" s="80">
        <v>0.65717539863325736</v>
      </c>
      <c r="G58" s="83">
        <v>10891</v>
      </c>
      <c r="H58" s="17">
        <v>10411</v>
      </c>
      <c r="I58" s="10">
        <f t="shared" si="3"/>
        <v>4.6105081164153239E-2</v>
      </c>
      <c r="J58" s="44">
        <v>0.28111325459935088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607</v>
      </c>
      <c r="D59" s="17">
        <v>528</v>
      </c>
      <c r="E59" s="10">
        <f t="shared" si="2"/>
        <v>0.14962121212121215</v>
      </c>
      <c r="F59" s="80">
        <v>0.54139156932453014</v>
      </c>
      <c r="G59" s="83">
        <v>9804</v>
      </c>
      <c r="H59" s="17">
        <v>9136</v>
      </c>
      <c r="I59" s="10">
        <f t="shared" si="3"/>
        <v>7.3117338003502619E-2</v>
      </c>
      <c r="J59" s="44">
        <v>0.2917676820912829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533</v>
      </c>
      <c r="D60" s="17">
        <v>736</v>
      </c>
      <c r="E60" s="10">
        <f t="shared" si="2"/>
        <v>-0.27581521739130432</v>
      </c>
      <c r="F60" s="80">
        <v>0.45628415300546443</v>
      </c>
      <c r="G60" s="83">
        <v>6007</v>
      </c>
      <c r="H60" s="17">
        <v>5973</v>
      </c>
      <c r="I60" s="10">
        <f t="shared" si="3"/>
        <v>5.6922819353759646E-3</v>
      </c>
      <c r="J60" s="44">
        <v>6.461789309513688E-2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490</v>
      </c>
      <c r="D61" s="17">
        <v>546</v>
      </c>
      <c r="E61" s="10">
        <f t="shared" si="2"/>
        <v>-0.10256410256410253</v>
      </c>
      <c r="F61" s="80">
        <v>1.0657672849915683</v>
      </c>
      <c r="G61" s="83">
        <v>9070</v>
      </c>
      <c r="H61" s="17">
        <v>7888</v>
      </c>
      <c r="I61" s="10">
        <f t="shared" si="3"/>
        <v>0.14984787018255585</v>
      </c>
      <c r="J61" s="44">
        <v>0.81508905343205917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202</v>
      </c>
      <c r="D62" s="17">
        <v>131</v>
      </c>
      <c r="E62" s="10">
        <f t="shared" si="2"/>
        <v>0.54198473282442738</v>
      </c>
      <c r="F62" s="80">
        <v>1.5</v>
      </c>
      <c r="G62" s="83">
        <v>8698</v>
      </c>
      <c r="H62" s="17">
        <v>9246</v>
      </c>
      <c r="I62" s="10">
        <f t="shared" si="3"/>
        <v>-5.9268873026173452E-2</v>
      </c>
      <c r="J62" s="44">
        <v>1.6953115865778301E-2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163</v>
      </c>
      <c r="D63" s="17">
        <v>176</v>
      </c>
      <c r="E63" s="10">
        <f t="shared" si="2"/>
        <v>-7.3863636363636354E-2</v>
      </c>
      <c r="F63" s="80">
        <v>0.32520325203252032</v>
      </c>
      <c r="G63" s="83">
        <v>6687</v>
      </c>
      <c r="H63" s="17">
        <v>5111</v>
      </c>
      <c r="I63" s="10">
        <f t="shared" si="3"/>
        <v>0.30835452944629238</v>
      </c>
      <c r="J63" s="44">
        <v>1.4036664270309132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190</v>
      </c>
      <c r="D66" s="17">
        <v>155</v>
      </c>
      <c r="E66" s="10">
        <f t="shared" si="2"/>
        <v>0.22580645161290325</v>
      </c>
      <c r="F66" s="80">
        <v>-8.0348499515972893E-2</v>
      </c>
      <c r="G66" s="83">
        <v>8031</v>
      </c>
      <c r="H66" s="17">
        <v>7648</v>
      </c>
      <c r="I66" s="10">
        <f t="shared" si="3"/>
        <v>5.007845188284521E-2</v>
      </c>
      <c r="J66" s="44">
        <v>1.0639938319198148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1751</v>
      </c>
      <c r="D67" s="17">
        <v>1506</v>
      </c>
      <c r="E67" s="10">
        <f t="shared" si="2"/>
        <v>0.16268260292164682</v>
      </c>
      <c r="F67" s="80">
        <v>0.68722297167084223</v>
      </c>
      <c r="G67" s="83">
        <v>28349</v>
      </c>
      <c r="H67" s="17">
        <v>24056</v>
      </c>
      <c r="I67" s="10">
        <f t="shared" si="3"/>
        <v>0.17845859660791485</v>
      </c>
      <c r="J67" s="44">
        <v>0.52556692820165085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2038</v>
      </c>
      <c r="D68" s="17">
        <v>2691</v>
      </c>
      <c r="E68" s="10">
        <f t="shared" si="2"/>
        <v>-0.24266072092159052</v>
      </c>
      <c r="F68" s="80">
        <v>0.26978193146417451</v>
      </c>
      <c r="G68" s="83">
        <v>16693</v>
      </c>
      <c r="H68" s="17">
        <v>17806</v>
      </c>
      <c r="I68" s="10">
        <f t="shared" si="3"/>
        <v>-6.25070201055824E-2</v>
      </c>
      <c r="J68" s="44">
        <v>0.43386016148428097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882</v>
      </c>
      <c r="D69" s="17">
        <v>798</v>
      </c>
      <c r="E69" s="10">
        <f t="shared" si="2"/>
        <v>0.10526315789473695</v>
      </c>
      <c r="F69" s="80">
        <v>0.36363636363636376</v>
      </c>
      <c r="G69" s="83">
        <v>31260</v>
      </c>
      <c r="H69" s="17">
        <v>25907</v>
      </c>
      <c r="I69" s="10">
        <f t="shared" si="3"/>
        <v>0.20662369243833711</v>
      </c>
      <c r="J69" s="44">
        <v>0.19670160555551308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1283</v>
      </c>
      <c r="D70" s="17">
        <v>729</v>
      </c>
      <c r="E70" s="10">
        <f t="shared" si="2"/>
        <v>0.75994513031550071</v>
      </c>
      <c r="F70" s="80">
        <v>2.4067976633032395</v>
      </c>
      <c r="G70" s="83">
        <v>11936</v>
      </c>
      <c r="H70" s="17">
        <v>8891</v>
      </c>
      <c r="I70" s="10">
        <f t="shared" si="3"/>
        <v>0.34248116072432788</v>
      </c>
      <c r="J70" s="44">
        <v>1.4389047813649367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247</v>
      </c>
      <c r="D71" s="17">
        <v>120</v>
      </c>
      <c r="E71" s="10">
        <f t="shared" si="2"/>
        <v>1.0583333333333331</v>
      </c>
      <c r="F71" s="80">
        <v>0.44783118405627209</v>
      </c>
      <c r="G71" s="83">
        <v>4106</v>
      </c>
      <c r="H71" s="17">
        <v>4736</v>
      </c>
      <c r="I71" s="10">
        <f t="shared" si="3"/>
        <v>-0.13302364864864868</v>
      </c>
      <c r="J71" s="44">
        <v>0.42767732962447846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605</v>
      </c>
      <c r="D72" s="17">
        <v>578</v>
      </c>
      <c r="E72" s="10">
        <f t="shared" si="2"/>
        <v>4.6712802768166028E-2</v>
      </c>
      <c r="F72" s="80">
        <v>1.5987972508591066</v>
      </c>
      <c r="G72" s="83">
        <v>20953</v>
      </c>
      <c r="H72" s="17">
        <v>15727</v>
      </c>
      <c r="I72" s="10">
        <f t="shared" si="3"/>
        <v>0.33229477967826027</v>
      </c>
      <c r="J72" s="44">
        <v>0.95064050048409943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179998</v>
      </c>
      <c r="D74" s="40">
        <v>172322</v>
      </c>
      <c r="E74" s="65">
        <f t="shared" si="2"/>
        <v>4.4544515500052118E-2</v>
      </c>
      <c r="F74" s="82">
        <v>0.25562946799783481</v>
      </c>
      <c r="G74" s="79">
        <v>2516947</v>
      </c>
      <c r="H74" s="40">
        <v>2517428</v>
      </c>
      <c r="I74" s="65">
        <f t="shared" si="3"/>
        <v>-1.9106802657320454E-4</v>
      </c>
      <c r="J74" s="66">
        <v>0.12325895658336439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VLOOKUP("&lt;T5Titel3&gt;",Uebersetzungen!$B$4:$E$315,Uebersetzungen!$B$2+1,FALSE)</f>
        <v>Hotel- und Kurbetriebe: Logiernächte im Mai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VLOOKUP("&lt;T5SpaltenTitel_1&gt;",Uebersetzungen!$B$4:$E$315,Uebersetzungen!$B$2+1,FALSE)</f>
        <v>Mai 2025</v>
      </c>
      <c r="D82" s="21" t="str">
        <f>VLOOKUP("&lt;T5SpaltenTitel_2&gt;",Uebersetzungen!$B$4:$E$315,Uebersetzungen!$B$2+1,FALSE)</f>
        <v>Mai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VLOOKUP("&lt;T5SpaltenTitel_5&gt;",Uebersetzungen!$B$4:$E$315,Uebersetzungen!$B$2+1,FALSE)</f>
        <v>Januar-Mai 25</v>
      </c>
      <c r="H82" s="22" t="str">
        <f>VLOOKUP("&lt;T5SpaltenTitel_6&gt;",Uebersetzungen!$B$4:$E$315,Uebersetzungen!$B$2+1,FALSE)</f>
        <v>Januar-Mai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127588</v>
      </c>
      <c r="D83" s="17">
        <v>121230</v>
      </c>
      <c r="E83" s="10">
        <f>C83/D83-1</f>
        <v>5.2445764249773097E-2</v>
      </c>
      <c r="F83" s="80">
        <v>0.47958308014157103</v>
      </c>
      <c r="G83" s="83">
        <v>471083</v>
      </c>
      <c r="H83" s="17">
        <v>446157</v>
      </c>
      <c r="I83" s="10">
        <f>G83/H83-1</f>
        <v>5.586822575909367E-2</v>
      </c>
      <c r="J83" s="44">
        <v>0.40928636858880219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178987</v>
      </c>
      <c r="D84" s="17">
        <v>165797</v>
      </c>
      <c r="E84" s="10">
        <f t="shared" ref="E84:E96" si="4">C84/D84-1</f>
        <v>7.9555118608901187E-2</v>
      </c>
      <c r="F84" s="80">
        <v>0.58387445600137333</v>
      </c>
      <c r="G84" s="83">
        <v>690584</v>
      </c>
      <c r="H84" s="17">
        <v>632920</v>
      </c>
      <c r="I84" s="10">
        <f t="shared" ref="I84:I96" si="5">G84/H84-1</f>
        <v>9.1107880932819407E-2</v>
      </c>
      <c r="J84" s="44">
        <v>0.51983935898530653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525535</v>
      </c>
      <c r="D85" s="17">
        <v>540960</v>
      </c>
      <c r="E85" s="10">
        <f t="shared" si="4"/>
        <v>-2.8514123040520589E-2</v>
      </c>
      <c r="F85" s="80">
        <v>0.46493859096509471</v>
      </c>
      <c r="G85" s="83">
        <v>2092424</v>
      </c>
      <c r="H85" s="17">
        <v>2162580</v>
      </c>
      <c r="I85" s="10">
        <f t="shared" si="5"/>
        <v>-3.2440880799785465E-2</v>
      </c>
      <c r="J85" s="44">
        <v>0.26665124231975867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48873</v>
      </c>
      <c r="D86" s="17">
        <v>42546</v>
      </c>
      <c r="E86" s="10">
        <f t="shared" si="4"/>
        <v>0.14870963192779585</v>
      </c>
      <c r="F86" s="80">
        <v>0.31844741910943508</v>
      </c>
      <c r="G86" s="83">
        <v>175272</v>
      </c>
      <c r="H86" s="17">
        <v>175301</v>
      </c>
      <c r="I86" s="10">
        <f t="shared" si="5"/>
        <v>-1.6542974655020526E-4</v>
      </c>
      <c r="J86" s="44">
        <v>0.25857916528437808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331389</v>
      </c>
      <c r="D87" s="17">
        <v>350330</v>
      </c>
      <c r="E87" s="10">
        <f t="shared" si="4"/>
        <v>-5.406616618616733E-2</v>
      </c>
      <c r="F87" s="80">
        <v>0.55144081857371319</v>
      </c>
      <c r="G87" s="83">
        <v>1440303</v>
      </c>
      <c r="H87" s="17">
        <v>1417614</v>
      </c>
      <c r="I87" s="10">
        <f t="shared" si="5"/>
        <v>1.6005062026757555E-2</v>
      </c>
      <c r="J87" s="44">
        <v>0.55855391429626944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179998</v>
      </c>
      <c r="D88" s="62">
        <v>172322</v>
      </c>
      <c r="E88" s="63">
        <f t="shared" si="4"/>
        <v>4.4544515500052118E-2</v>
      </c>
      <c r="F88" s="85">
        <v>0.25562946799783481</v>
      </c>
      <c r="G88" s="87">
        <v>2516947</v>
      </c>
      <c r="H88" s="62">
        <v>2517428</v>
      </c>
      <c r="I88" s="63">
        <f t="shared" si="5"/>
        <v>-1.9106802657320454E-4</v>
      </c>
      <c r="J88" s="64">
        <v>0.12325895658336439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65796</v>
      </c>
      <c r="D89" s="17">
        <v>62266</v>
      </c>
      <c r="E89" s="10">
        <f t="shared" si="4"/>
        <v>5.669225580573678E-2</v>
      </c>
      <c r="F89" s="80">
        <v>0.21665101073232784</v>
      </c>
      <c r="G89" s="83">
        <v>213860</v>
      </c>
      <c r="H89" s="17">
        <v>211446</v>
      </c>
      <c r="I89" s="10">
        <f t="shared" si="5"/>
        <v>1.1416626467277702E-2</v>
      </c>
      <c r="J89" s="44">
        <v>0.19834497721654043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392346</v>
      </c>
      <c r="D90" s="17">
        <v>381421</v>
      </c>
      <c r="E90" s="10">
        <f t="shared" si="4"/>
        <v>2.8642890664121845E-2</v>
      </c>
      <c r="F90" s="80">
        <v>0.48157966286025022</v>
      </c>
      <c r="G90" s="83">
        <v>1463847</v>
      </c>
      <c r="H90" s="17">
        <v>1425353</v>
      </c>
      <c r="I90" s="10">
        <f t="shared" si="5"/>
        <v>2.7006643266615393E-2</v>
      </c>
      <c r="J90" s="44">
        <v>0.33936507094161539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189024</v>
      </c>
      <c r="D91" s="17">
        <v>181592</v>
      </c>
      <c r="E91" s="10">
        <f t="shared" si="4"/>
        <v>4.0926913079871285E-2</v>
      </c>
      <c r="F91" s="80">
        <v>0.20918712001801376</v>
      </c>
      <c r="G91" s="83">
        <v>723749</v>
      </c>
      <c r="H91" s="17">
        <v>723534</v>
      </c>
      <c r="I91" s="10">
        <f t="shared" si="5"/>
        <v>2.9715258716245252E-4</v>
      </c>
      <c r="J91" s="44">
        <v>0.17087995288971136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260064</v>
      </c>
      <c r="D92" s="17">
        <v>251516</v>
      </c>
      <c r="E92" s="10">
        <f t="shared" si="4"/>
        <v>3.3985909445124696E-2</v>
      </c>
      <c r="F92" s="80">
        <v>9.2963050129442282E-2</v>
      </c>
      <c r="G92" s="83">
        <v>739287</v>
      </c>
      <c r="H92" s="17">
        <v>741923</v>
      </c>
      <c r="I92" s="10">
        <f t="shared" si="5"/>
        <v>-3.5529293471154855E-3</v>
      </c>
      <c r="J92" s="44">
        <v>4.0052502964898151E-2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284410</v>
      </c>
      <c r="D93" s="17">
        <v>272351</v>
      </c>
      <c r="E93" s="10">
        <f t="shared" si="4"/>
        <v>4.4277421415746643E-2</v>
      </c>
      <c r="F93" s="80">
        <v>0.41808503424425303</v>
      </c>
      <c r="G93" s="83">
        <v>1105281</v>
      </c>
      <c r="H93" s="17">
        <v>1048726</v>
      </c>
      <c r="I93" s="10">
        <f t="shared" si="5"/>
        <v>5.3927336596975683E-2</v>
      </c>
      <c r="J93" s="44">
        <v>0.33042896087775864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189040</v>
      </c>
      <c r="D94" s="17">
        <v>191496</v>
      </c>
      <c r="E94" s="33">
        <f t="shared" si="4"/>
        <v>-1.2825333166228026E-2</v>
      </c>
      <c r="F94" s="80">
        <v>0.39302368081305916</v>
      </c>
      <c r="G94" s="83">
        <v>1934989</v>
      </c>
      <c r="H94" s="17">
        <v>1953291</v>
      </c>
      <c r="I94" s="33">
        <f t="shared" si="5"/>
        <v>-9.3698276396092517E-3</v>
      </c>
      <c r="J94" s="44">
        <v>0.16262521424570653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703604</v>
      </c>
      <c r="D95" s="18">
        <v>669530</v>
      </c>
      <c r="E95" s="43">
        <f t="shared" si="4"/>
        <v>5.0892417068689966E-2</v>
      </c>
      <c r="F95" s="11">
        <v>0.6681002068280768</v>
      </c>
      <c r="G95" s="84">
        <v>2731674</v>
      </c>
      <c r="H95" s="18">
        <v>2598151</v>
      </c>
      <c r="I95" s="43">
        <f t="shared" si="5"/>
        <v>5.1391547296519624E-2</v>
      </c>
      <c r="J95" s="48">
        <v>0.57641862579677228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3476654</v>
      </c>
      <c r="D96" s="40">
        <v>3403357</v>
      </c>
      <c r="E96" s="41">
        <f t="shared" si="4"/>
        <v>2.1536676875214766E-2</v>
      </c>
      <c r="F96" s="86">
        <v>0.43471965998423268</v>
      </c>
      <c r="G96" s="79">
        <v>16299300</v>
      </c>
      <c r="H96" s="40">
        <v>16054424</v>
      </c>
      <c r="I96" s="41">
        <f t="shared" si="5"/>
        <v>1.5252867371635448E-2</v>
      </c>
      <c r="J96" s="45">
        <v>0.296372603222256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VLOOKUP("&lt;T5Aktualisierung&gt;",Uebersetzungen!$B$4:$E$315,Uebersetzungen!$B$2+1,FALSE)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VLOOKUP("&lt;T5Legende_3&gt;",Uebersetzungen!$B$4:$E$315,Uebersetzungen!$B$2+1,FALSE)</f>
        <v>Daten des Juni 2025 erscheinen am 5. August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700-000000000000}"/>
    <hyperlink ref="E76" location="Länder_Pajais_Paesi!A1" display="Länder / Pajais / Paese" xr:uid="{00000000-0004-0000-07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"/>
  <dimension ref="A1:K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VLOOKUP("&lt;T4Titel1&gt;",Uebersetzungen!$B$4:$E$315,Uebersetzungen!$B$2+1,FALSE)</f>
        <v>Hotel- und Kurbetriebe: Logiernächte im April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VLOOKUP("&lt;T4SpaltenTitel_1&gt;",Uebersetzungen!$B$4:$E$315,Uebersetzungen!$B$2+1,FALSE)</f>
        <v>April 2025</v>
      </c>
      <c r="D12" s="21" t="str">
        <f>VLOOKUP("&lt;T4SpaltenTitel_2&gt;",Uebersetzungen!$B$4:$E$315,Uebersetzungen!$B$2+1,FALSE)</f>
        <v>April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VLOOKUP("&lt;T4SpaltenTitel_5&gt;",Uebersetzungen!$B$4:$E$315,Uebersetzungen!$B$2+1,FALSE)</f>
        <v>Januar-April 25</v>
      </c>
      <c r="H12" s="22" t="str">
        <f>VLOOKUP("&lt;T4SpaltenTitel_6&gt;",Uebersetzungen!$B$4:$E$315,Uebersetzungen!$B$2+1,FALSE)</f>
        <v>Januar-April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9244</v>
      </c>
      <c r="D13" s="52">
        <v>11970</v>
      </c>
      <c r="E13" s="53">
        <f t="shared" ref="E13:E31" si="0">C13/D13-1</f>
        <v>-0.22773600668337513</v>
      </c>
      <c r="F13" s="72">
        <v>-0.22214742510939078</v>
      </c>
      <c r="G13" s="76">
        <v>226152</v>
      </c>
      <c r="H13" s="52">
        <v>235673</v>
      </c>
      <c r="I13" s="53">
        <f t="shared" ref="I13:I31" si="1">G13/H13-1</f>
        <v>-4.0399197192720449E-2</v>
      </c>
      <c r="J13" s="54">
        <v>0.10692242556544818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342</v>
      </c>
      <c r="D14" s="52">
        <v>409</v>
      </c>
      <c r="E14" s="53">
        <f t="shared" si="0"/>
        <v>-0.16381418092909539</v>
      </c>
      <c r="F14" s="72">
        <v>-0.51516869861071735</v>
      </c>
      <c r="G14" s="76">
        <v>20765</v>
      </c>
      <c r="H14" s="52">
        <v>20545</v>
      </c>
      <c r="I14" s="53">
        <f t="shared" si="1"/>
        <v>1.0708201508882853E-2</v>
      </c>
      <c r="J14" s="54">
        <v>-5.8028746253508956E-3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944</v>
      </c>
      <c r="D15" s="52">
        <v>629</v>
      </c>
      <c r="E15" s="53">
        <f t="shared" si="0"/>
        <v>0.5007949125596185</v>
      </c>
      <c r="F15" s="72">
        <v>-0.2122830440587451</v>
      </c>
      <c r="G15" s="76">
        <v>15141</v>
      </c>
      <c r="H15" s="52">
        <v>16474</v>
      </c>
      <c r="I15" s="53">
        <f t="shared" si="1"/>
        <v>-8.0915381813767118E-2</v>
      </c>
      <c r="J15" s="54">
        <v>-3.89717549984131E-2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3562</v>
      </c>
      <c r="D16" s="52">
        <v>4356</v>
      </c>
      <c r="E16" s="53">
        <f t="shared" si="0"/>
        <v>-0.18227731864095498</v>
      </c>
      <c r="F16" s="72">
        <v>0.13526262111167764</v>
      </c>
      <c r="G16" s="76">
        <v>15271</v>
      </c>
      <c r="H16" s="52">
        <v>16415</v>
      </c>
      <c r="I16" s="53">
        <f t="shared" si="1"/>
        <v>-6.9692354553761771E-2</v>
      </c>
      <c r="J16" s="54">
        <v>0.23334248655284351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18703</v>
      </c>
      <c r="D17" s="52">
        <v>17779</v>
      </c>
      <c r="E17" s="53">
        <f t="shared" si="0"/>
        <v>5.1971426964396272E-2</v>
      </c>
      <c r="F17" s="72">
        <v>0.62991947572070983</v>
      </c>
      <c r="G17" s="76">
        <v>76625</v>
      </c>
      <c r="H17" s="52">
        <v>73906</v>
      </c>
      <c r="I17" s="53">
        <f t="shared" si="1"/>
        <v>3.6789976456579998E-2</v>
      </c>
      <c r="J17" s="54">
        <v>0.46723166654539483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31494</v>
      </c>
      <c r="D18" s="52">
        <v>22049</v>
      </c>
      <c r="E18" s="53">
        <f t="shared" si="0"/>
        <v>0.42836409814504051</v>
      </c>
      <c r="F18" s="72">
        <v>0.33101734455827181</v>
      </c>
      <c r="G18" s="76">
        <v>399040</v>
      </c>
      <c r="H18" s="52">
        <v>421233</v>
      </c>
      <c r="I18" s="53">
        <f t="shared" si="1"/>
        <v>-5.2685805717975542E-2</v>
      </c>
      <c r="J18" s="54">
        <v>4.0588804699756453E-2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2153</v>
      </c>
      <c r="D19" s="52">
        <v>1747</v>
      </c>
      <c r="E19" s="53">
        <f t="shared" si="0"/>
        <v>0.23239839725243283</v>
      </c>
      <c r="F19" s="72">
        <v>-0.36260287761264731</v>
      </c>
      <c r="G19" s="76">
        <v>56332</v>
      </c>
      <c r="H19" s="52">
        <v>65088</v>
      </c>
      <c r="I19" s="53">
        <f t="shared" si="1"/>
        <v>-0.13452556538839722</v>
      </c>
      <c r="J19" s="54">
        <v>-3.1428288290840101E-3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24312</v>
      </c>
      <c r="D20" s="52">
        <v>19951</v>
      </c>
      <c r="E20" s="53">
        <f t="shared" si="0"/>
        <v>0.21858553455967122</v>
      </c>
      <c r="F20" s="72">
        <v>0.15716325559257505</v>
      </c>
      <c r="G20" s="76">
        <v>227701</v>
      </c>
      <c r="H20" s="52">
        <v>221035</v>
      </c>
      <c r="I20" s="53">
        <f t="shared" si="1"/>
        <v>3.0158119754789992E-2</v>
      </c>
      <c r="J20" s="54">
        <v>0.14145222965697424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48707</v>
      </c>
      <c r="D21" s="52">
        <v>42850</v>
      </c>
      <c r="E21" s="53">
        <f t="shared" si="0"/>
        <v>0.13668611435239209</v>
      </c>
      <c r="F21" s="72">
        <v>0.21798558632451259</v>
      </c>
      <c r="G21" s="76">
        <v>728519</v>
      </c>
      <c r="H21" s="52">
        <v>705384</v>
      </c>
      <c r="I21" s="53">
        <f t="shared" si="1"/>
        <v>3.2797738536740173E-2</v>
      </c>
      <c r="J21" s="54">
        <v>0.19915848758207866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23543</v>
      </c>
      <c r="D22" s="52">
        <v>17330</v>
      </c>
      <c r="E22" s="53">
        <f t="shared" si="0"/>
        <v>0.35851125216387758</v>
      </c>
      <c r="F22" s="72">
        <v>4.5092155261195366E-2</v>
      </c>
      <c r="G22" s="76">
        <v>233915</v>
      </c>
      <c r="H22" s="52">
        <v>227778</v>
      </c>
      <c r="I22" s="53">
        <f t="shared" si="1"/>
        <v>2.6942900543511561E-2</v>
      </c>
      <c r="J22" s="54">
        <v>2.3483032010781058E-2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5472</v>
      </c>
      <c r="D23" s="52">
        <v>4450</v>
      </c>
      <c r="E23" s="53">
        <f t="shared" si="0"/>
        <v>0.22966292134831456</v>
      </c>
      <c r="F23" s="72">
        <v>-5.8499655884377111E-2</v>
      </c>
      <c r="G23" s="76">
        <v>134670</v>
      </c>
      <c r="H23" s="52">
        <v>145880</v>
      </c>
      <c r="I23" s="53">
        <f t="shared" si="1"/>
        <v>-7.684398135453796E-2</v>
      </c>
      <c r="J23" s="54">
        <v>-3.7312280541226595E-2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4194</v>
      </c>
      <c r="D24" s="52">
        <v>4071</v>
      </c>
      <c r="E24" s="53">
        <f t="shared" si="0"/>
        <v>3.0213706705969123E-2</v>
      </c>
      <c r="F24" s="72">
        <v>0.25523763917155518</v>
      </c>
      <c r="G24" s="76">
        <v>36695</v>
      </c>
      <c r="H24" s="52">
        <v>35597</v>
      </c>
      <c r="I24" s="53">
        <f t="shared" si="1"/>
        <v>3.0845295951906104E-2</v>
      </c>
      <c r="J24" s="54">
        <v>0.2365544292877555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1139</v>
      </c>
      <c r="D25" s="52">
        <v>1261</v>
      </c>
      <c r="E25" s="53">
        <f t="shared" si="0"/>
        <v>-9.6748612212529728E-2</v>
      </c>
      <c r="F25" s="72">
        <v>0.16011407618659601</v>
      </c>
      <c r="G25" s="76">
        <v>12392</v>
      </c>
      <c r="H25" s="52">
        <v>8260</v>
      </c>
      <c r="I25" s="53">
        <f t="shared" si="1"/>
        <v>0.50024213075060531</v>
      </c>
      <c r="J25" s="54">
        <v>0.70018933677249406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2328</v>
      </c>
      <c r="D26" s="52">
        <v>2366</v>
      </c>
      <c r="E26" s="53">
        <f t="shared" si="0"/>
        <v>-1.6060862214708371E-2</v>
      </c>
      <c r="F26" s="72">
        <v>6.8281938325991387E-2</v>
      </c>
      <c r="G26" s="76">
        <v>43073</v>
      </c>
      <c r="H26" s="52">
        <v>41147</v>
      </c>
      <c r="I26" s="53">
        <f t="shared" si="1"/>
        <v>4.6807786715920896E-2</v>
      </c>
      <c r="J26" s="54">
        <v>0.2468375316246838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3110</v>
      </c>
      <c r="D27" s="52">
        <v>2022</v>
      </c>
      <c r="E27" s="53">
        <f t="shared" si="0"/>
        <v>0.5380811078140455</v>
      </c>
      <c r="F27" s="72">
        <v>0.35914692771610879</v>
      </c>
      <c r="G27" s="77">
        <v>43521</v>
      </c>
      <c r="H27" s="52">
        <v>42068</v>
      </c>
      <c r="I27" s="53">
        <f t="shared" si="1"/>
        <v>3.4539317295806837E-2</v>
      </c>
      <c r="J27" s="54">
        <v>2.1782819792830921E-2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3519</v>
      </c>
      <c r="D28" s="52">
        <v>3174</v>
      </c>
      <c r="E28" s="53">
        <f t="shared" si="0"/>
        <v>0.10869565217391308</v>
      </c>
      <c r="F28" s="72">
        <v>0.2436386768447838</v>
      </c>
      <c r="G28" s="76">
        <v>14377</v>
      </c>
      <c r="H28" s="52">
        <v>12699</v>
      </c>
      <c r="I28" s="53">
        <f t="shared" si="1"/>
        <v>0.13213638869202304</v>
      </c>
      <c r="J28" s="54">
        <v>0.4579952944994321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2820</v>
      </c>
      <c r="D29" s="55">
        <v>2357</v>
      </c>
      <c r="E29" s="53">
        <f t="shared" si="0"/>
        <v>0.19643614764531181</v>
      </c>
      <c r="F29" s="72">
        <v>-0.1643949271067916</v>
      </c>
      <c r="G29" s="77">
        <v>25669</v>
      </c>
      <c r="H29" s="55">
        <v>25845</v>
      </c>
      <c r="I29" s="53">
        <f t="shared" si="1"/>
        <v>-6.809827819694303E-3</v>
      </c>
      <c r="J29" s="54">
        <v>-1.9997862007880007E-2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3497</v>
      </c>
      <c r="D30" s="57">
        <v>3517</v>
      </c>
      <c r="E30" s="53">
        <f t="shared" si="0"/>
        <v>-5.6866647711117935E-3</v>
      </c>
      <c r="F30" s="73">
        <v>0.16543357995067653</v>
      </c>
      <c r="G30" s="78">
        <v>27091</v>
      </c>
      <c r="H30" s="57">
        <v>30079</v>
      </c>
      <c r="I30" s="53">
        <f t="shared" si="1"/>
        <v>-9.933840885667744E-2</v>
      </c>
      <c r="J30" s="58">
        <v>3.1668659603798943E-2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189083</v>
      </c>
      <c r="D31" s="19">
        <v>162288</v>
      </c>
      <c r="E31" s="12">
        <f t="shared" si="0"/>
        <v>0.16510770975056688</v>
      </c>
      <c r="F31" s="74">
        <v>0.16162900708958428</v>
      </c>
      <c r="G31" s="79">
        <v>2336949</v>
      </c>
      <c r="H31" s="19">
        <v>2345106</v>
      </c>
      <c r="I31" s="12">
        <f t="shared" si="1"/>
        <v>-3.4783075903604965E-3</v>
      </c>
      <c r="J31" s="47">
        <v>0.11421172067604424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VLOOKUP("&lt;T4Titel2&gt;",Uebersetzungen!$B$4:$E$315,Uebersetzungen!$B$2+1,FALSE)</f>
        <v>Hotel- und Kurbetriebe: Logiernächte im April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VLOOKUP("&lt;T4SpaltenTitel_1&gt;",Uebersetzungen!$B$4:$E$315,Uebersetzungen!$B$2+1,FALSE)</f>
        <v>April 2025</v>
      </c>
      <c r="D39" s="21" t="str">
        <f>VLOOKUP("&lt;T4SpaltenTitel_2&gt;",Uebersetzungen!$B$4:$E$315,Uebersetzungen!$B$2+1,FALSE)</f>
        <v>April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VLOOKUP("&lt;T4SpaltenTitel_5&gt;",Uebersetzungen!$B$4:$E$315,Uebersetzungen!$B$2+1,FALSE)</f>
        <v>Januar-April 25</v>
      </c>
      <c r="H39" s="22" t="str">
        <f>VLOOKUP("&lt;T4SpaltenTitel_6&gt;",Uebersetzungen!$B$4:$E$315,Uebersetzungen!$B$2+1,FALSE)</f>
        <v>Januar-April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113605</v>
      </c>
      <c r="D40" s="17">
        <v>98643</v>
      </c>
      <c r="E40" s="10">
        <f>C40/D40-1</f>
        <v>0.15167827418063107</v>
      </c>
      <c r="F40" s="80">
        <v>4.3745337346430935E-2</v>
      </c>
      <c r="G40" s="83">
        <v>1443018</v>
      </c>
      <c r="H40" s="17">
        <v>1465186</v>
      </c>
      <c r="I40" s="10">
        <f>G40/H40-1</f>
        <v>-1.5129819695246849E-2</v>
      </c>
      <c r="J40" s="44">
        <v>2.5496670339836713E-2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29232</v>
      </c>
      <c r="D41" s="17">
        <v>21771</v>
      </c>
      <c r="E41" s="10">
        <f t="shared" ref="E41:E74" si="2">C41/D41-1</f>
        <v>0.34270359652749072</v>
      </c>
      <c r="F41" s="80">
        <v>0.15558858642800111</v>
      </c>
      <c r="G41" s="83">
        <v>331164</v>
      </c>
      <c r="H41" s="17">
        <v>369835</v>
      </c>
      <c r="I41" s="10">
        <f t="shared" ref="I41:I74" si="3">G41/H41-1</f>
        <v>-0.10456284559330509</v>
      </c>
      <c r="J41" s="44">
        <v>0.12064788068946286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4304</v>
      </c>
      <c r="D42" s="17">
        <v>4007</v>
      </c>
      <c r="E42" s="10">
        <f t="shared" si="2"/>
        <v>7.412028949338656E-2</v>
      </c>
      <c r="F42" s="80">
        <v>1.1507095742554467</v>
      </c>
      <c r="G42" s="83">
        <v>65872</v>
      </c>
      <c r="H42" s="17">
        <v>53000</v>
      </c>
      <c r="I42" s="10">
        <f t="shared" si="3"/>
        <v>0.24286792452830186</v>
      </c>
      <c r="J42" s="44">
        <v>1.1006575716408675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10588</v>
      </c>
      <c r="D43" s="17">
        <v>7700</v>
      </c>
      <c r="E43" s="10">
        <f t="shared" si="2"/>
        <v>0.3750649350649351</v>
      </c>
      <c r="F43" s="80">
        <v>1.0599221789883266</v>
      </c>
      <c r="G43" s="83">
        <v>87368</v>
      </c>
      <c r="H43" s="17">
        <v>80456</v>
      </c>
      <c r="I43" s="10">
        <f t="shared" si="3"/>
        <v>8.5910311226011782E-2</v>
      </c>
      <c r="J43" s="44">
        <v>0.43228577517664224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2587</v>
      </c>
      <c r="D44" s="17">
        <v>3293</v>
      </c>
      <c r="E44" s="10">
        <f t="shared" si="2"/>
        <v>-0.21439416945034917</v>
      </c>
      <c r="F44" s="80">
        <v>-0.13047862328582949</v>
      </c>
      <c r="G44" s="83">
        <v>25973</v>
      </c>
      <c r="H44" s="17">
        <v>28070</v>
      </c>
      <c r="I44" s="10">
        <f t="shared" si="3"/>
        <v>-7.4706091913074424E-2</v>
      </c>
      <c r="J44" s="44">
        <v>6.3499602820384693E-2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1546</v>
      </c>
      <c r="D45" s="17">
        <v>1449</v>
      </c>
      <c r="E45" s="10">
        <f t="shared" si="2"/>
        <v>6.6942719116632077E-2</v>
      </c>
      <c r="F45" s="80">
        <v>6.7725970304768346E-3</v>
      </c>
      <c r="G45" s="83">
        <v>42112</v>
      </c>
      <c r="H45" s="17">
        <v>40566</v>
      </c>
      <c r="I45" s="10">
        <f t="shared" si="3"/>
        <v>3.8110733126263341E-2</v>
      </c>
      <c r="J45" s="44">
        <v>0.27079158921372182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1937</v>
      </c>
      <c r="D46" s="17">
        <v>1625</v>
      </c>
      <c r="E46" s="10">
        <f t="shared" si="2"/>
        <v>0.19199999999999995</v>
      </c>
      <c r="F46" s="80">
        <v>0.38872956696300554</v>
      </c>
      <c r="G46" s="83">
        <v>17580</v>
      </c>
      <c r="H46" s="17">
        <v>16022</v>
      </c>
      <c r="I46" s="10">
        <f t="shared" si="3"/>
        <v>9.7241293221820069E-2</v>
      </c>
      <c r="J46" s="44">
        <v>0.29833682904493219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3363</v>
      </c>
      <c r="D47" s="17">
        <v>3101</v>
      </c>
      <c r="E47" s="10">
        <f t="shared" si="2"/>
        <v>8.4488874556594595E-2</v>
      </c>
      <c r="F47" s="80">
        <v>0.24004424778761058</v>
      </c>
      <c r="G47" s="83">
        <v>43424</v>
      </c>
      <c r="H47" s="17">
        <v>44083</v>
      </c>
      <c r="I47" s="10">
        <f t="shared" si="3"/>
        <v>-1.4949073338928809E-2</v>
      </c>
      <c r="J47" s="44">
        <v>0.31501008424737575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1497</v>
      </c>
      <c r="D48" s="17">
        <v>1123</v>
      </c>
      <c r="E48" s="10">
        <f t="shared" si="2"/>
        <v>0.33303650934995543</v>
      </c>
      <c r="F48" s="80">
        <v>0.48482443959531829</v>
      </c>
      <c r="G48" s="83">
        <v>30259</v>
      </c>
      <c r="H48" s="17">
        <v>30055</v>
      </c>
      <c r="I48" s="10">
        <f t="shared" si="3"/>
        <v>6.7875561470636114E-3</v>
      </c>
      <c r="J48" s="44">
        <v>0.3284542708626017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1209</v>
      </c>
      <c r="D49" s="17">
        <v>1326</v>
      </c>
      <c r="E49" s="10">
        <f t="shared" si="2"/>
        <v>-8.8235294117647078E-2</v>
      </c>
      <c r="F49" s="80">
        <v>1.2725563909774436</v>
      </c>
      <c r="G49" s="83">
        <v>11364</v>
      </c>
      <c r="H49" s="17">
        <v>10409</v>
      </c>
      <c r="I49" s="10">
        <f t="shared" si="3"/>
        <v>9.1747526179267958E-2</v>
      </c>
      <c r="J49" s="44">
        <v>0.9920067311737486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399</v>
      </c>
      <c r="D50" s="17">
        <v>805</v>
      </c>
      <c r="E50" s="10">
        <f t="shared" si="2"/>
        <v>-0.5043478260869565</v>
      </c>
      <c r="F50" s="80">
        <v>0.75461741424802109</v>
      </c>
      <c r="G50" s="83">
        <v>1227</v>
      </c>
      <c r="H50" s="17">
        <v>1763</v>
      </c>
      <c r="I50" s="10">
        <f t="shared" si="3"/>
        <v>-0.30402722631877477</v>
      </c>
      <c r="J50" s="44">
        <v>0.92440401505646208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2637</v>
      </c>
      <c r="D51" s="17">
        <v>1924</v>
      </c>
      <c r="E51" s="10">
        <f t="shared" si="2"/>
        <v>0.37058212058212048</v>
      </c>
      <c r="F51" s="80">
        <v>2.6054142739950779</v>
      </c>
      <c r="G51" s="83">
        <v>11327</v>
      </c>
      <c r="H51" s="17">
        <v>9352</v>
      </c>
      <c r="I51" s="10">
        <f t="shared" si="3"/>
        <v>0.21118477331052188</v>
      </c>
      <c r="J51" s="44">
        <v>0.95151786637262714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374</v>
      </c>
      <c r="D52" s="17">
        <v>434</v>
      </c>
      <c r="E52" s="10">
        <f t="shared" si="2"/>
        <v>-0.13824884792626724</v>
      </c>
      <c r="F52" s="80">
        <v>1.0708748615725359</v>
      </c>
      <c r="G52" s="83">
        <v>9030</v>
      </c>
      <c r="H52" s="17">
        <v>6163</v>
      </c>
      <c r="I52" s="10">
        <f t="shared" si="3"/>
        <v>0.46519552166152844</v>
      </c>
      <c r="J52" s="44">
        <v>1.1515368120085774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429</v>
      </c>
      <c r="D53" s="17">
        <v>526</v>
      </c>
      <c r="E53" s="10">
        <f t="shared" si="2"/>
        <v>-0.18441064638783267</v>
      </c>
      <c r="F53" s="80">
        <v>1.3015021459227465</v>
      </c>
      <c r="G53" s="83">
        <v>3137</v>
      </c>
      <c r="H53" s="17">
        <v>2634</v>
      </c>
      <c r="I53" s="10">
        <f t="shared" si="3"/>
        <v>0.19096431283219428</v>
      </c>
      <c r="J53" s="44">
        <v>1.0080655485853285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712</v>
      </c>
      <c r="D54" s="17">
        <v>810</v>
      </c>
      <c r="E54" s="10">
        <f t="shared" si="2"/>
        <v>-0.12098765432098768</v>
      </c>
      <c r="F54" s="80">
        <v>1.7426810477657932</v>
      </c>
      <c r="G54" s="83">
        <v>4650</v>
      </c>
      <c r="H54" s="17">
        <v>3858</v>
      </c>
      <c r="I54" s="10">
        <f t="shared" si="3"/>
        <v>0.20528771384136868</v>
      </c>
      <c r="J54" s="44">
        <v>0.92690203878667354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1461</v>
      </c>
      <c r="D55" s="17">
        <v>1763</v>
      </c>
      <c r="E55" s="10">
        <f t="shared" si="2"/>
        <v>-0.17129892229154853</v>
      </c>
      <c r="F55" s="80">
        <v>-0.25814969026099321</v>
      </c>
      <c r="G55" s="83">
        <v>18328</v>
      </c>
      <c r="H55" s="17">
        <v>17668</v>
      </c>
      <c r="I55" s="10">
        <f t="shared" si="3"/>
        <v>3.7355671270092872E-2</v>
      </c>
      <c r="J55" s="44">
        <v>-0.39347007392993538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1381</v>
      </c>
      <c r="D56" s="17">
        <v>1087</v>
      </c>
      <c r="E56" s="10">
        <f t="shared" si="2"/>
        <v>0.27046918123275066</v>
      </c>
      <c r="F56" s="80">
        <v>2.2372245663384902</v>
      </c>
      <c r="G56" s="83">
        <v>23418</v>
      </c>
      <c r="H56" s="17">
        <v>18771</v>
      </c>
      <c r="I56" s="10">
        <f t="shared" si="3"/>
        <v>0.24756272974268811</v>
      </c>
      <c r="J56" s="44">
        <v>0.95635828975288617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956</v>
      </c>
      <c r="D57" s="17">
        <v>998</v>
      </c>
      <c r="E57" s="10">
        <f t="shared" si="2"/>
        <v>-4.2084168336673389E-2</v>
      </c>
      <c r="F57" s="80">
        <v>1.2697056030389366</v>
      </c>
      <c r="G57" s="83">
        <v>4786</v>
      </c>
      <c r="H57" s="17">
        <v>3720</v>
      </c>
      <c r="I57" s="10">
        <f t="shared" si="3"/>
        <v>0.28655913978494629</v>
      </c>
      <c r="J57" s="44">
        <v>1.3939575830332132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669</v>
      </c>
      <c r="D58" s="17">
        <v>406</v>
      </c>
      <c r="E58" s="10">
        <f t="shared" si="2"/>
        <v>0.64778325123152714</v>
      </c>
      <c r="F58" s="80">
        <v>0.14124872057318316</v>
      </c>
      <c r="G58" s="83">
        <v>10309</v>
      </c>
      <c r="H58" s="17">
        <v>10064</v>
      </c>
      <c r="I58" s="10">
        <f t="shared" si="3"/>
        <v>2.4344197138314705E-2</v>
      </c>
      <c r="J58" s="44">
        <v>0.2649079754601229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506</v>
      </c>
      <c r="D59" s="17">
        <v>396</v>
      </c>
      <c r="E59" s="10">
        <f t="shared" si="2"/>
        <v>0.27777777777777768</v>
      </c>
      <c r="F59" s="80">
        <v>0.20075937351684869</v>
      </c>
      <c r="G59" s="83">
        <v>9197</v>
      </c>
      <c r="H59" s="17">
        <v>8608</v>
      </c>
      <c r="I59" s="10">
        <f t="shared" si="3"/>
        <v>6.8424721189590976E-2</v>
      </c>
      <c r="J59" s="44">
        <v>0.27810667333722461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468</v>
      </c>
      <c r="D60" s="17">
        <v>267</v>
      </c>
      <c r="E60" s="10">
        <f t="shared" si="2"/>
        <v>0.75280898876404501</v>
      </c>
      <c r="F60" s="80">
        <v>5.7866184448462921E-2</v>
      </c>
      <c r="G60" s="83">
        <v>5474</v>
      </c>
      <c r="H60" s="17">
        <v>5237</v>
      </c>
      <c r="I60" s="10">
        <f t="shared" si="3"/>
        <v>4.5254916937177869E-2</v>
      </c>
      <c r="J60" s="44">
        <v>3.744977636267155E-2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814</v>
      </c>
      <c r="D61" s="17">
        <v>473</v>
      </c>
      <c r="E61" s="10">
        <f t="shared" si="2"/>
        <v>0.72093023255813948</v>
      </c>
      <c r="F61" s="80">
        <v>0.86782927948600275</v>
      </c>
      <c r="G61" s="83">
        <v>8580</v>
      </c>
      <c r="H61" s="17">
        <v>7342</v>
      </c>
      <c r="I61" s="10">
        <f t="shared" si="3"/>
        <v>0.16861890493053666</v>
      </c>
      <c r="J61" s="44">
        <v>0.80259674776251089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288</v>
      </c>
      <c r="D62" s="17">
        <v>277</v>
      </c>
      <c r="E62" s="10">
        <f t="shared" si="2"/>
        <v>3.971119133573997E-2</v>
      </c>
      <c r="F62" s="80">
        <v>3.6717062634989084E-2</v>
      </c>
      <c r="G62" s="83">
        <v>8496</v>
      </c>
      <c r="H62" s="17">
        <v>9115</v>
      </c>
      <c r="I62" s="10">
        <f t="shared" si="3"/>
        <v>-6.791003839824461E-2</v>
      </c>
      <c r="J62" s="44">
        <v>2.8091876962301754E-3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312</v>
      </c>
      <c r="D63" s="17">
        <v>294</v>
      </c>
      <c r="E63" s="10">
        <f t="shared" si="2"/>
        <v>6.1224489795918435E-2</v>
      </c>
      <c r="F63" s="80">
        <v>1.5161290322580645</v>
      </c>
      <c r="G63" s="83">
        <v>6524</v>
      </c>
      <c r="H63" s="17">
        <v>4935</v>
      </c>
      <c r="I63" s="10">
        <f t="shared" si="3"/>
        <v>0.32198581560283679</v>
      </c>
      <c r="J63" s="44">
        <v>1.4535539676570139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1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1" x14ac:dyDescent="0.2">
      <c r="A66" s="24" t="str">
        <f>VLOOKUP("&lt;Zeilentitel_44.1&gt;",Uebersetzungen!$B$4:$E$88,Uebersetzungen!$B$2+1,FALSE)</f>
        <v>übrige Golfstaaten</v>
      </c>
      <c r="B66" s="5"/>
      <c r="C66" s="13">
        <v>236</v>
      </c>
      <c r="D66" s="17">
        <v>179</v>
      </c>
      <c r="E66" s="10">
        <f t="shared" si="2"/>
        <v>0.31843575418994408</v>
      </c>
      <c r="F66" s="80">
        <v>1.2779922779922783</v>
      </c>
      <c r="G66" s="83">
        <v>7841</v>
      </c>
      <c r="H66" s="17">
        <v>7493</v>
      </c>
      <c r="I66" s="10">
        <f t="shared" si="3"/>
        <v>4.6443347123982459E-2</v>
      </c>
      <c r="J66" s="44">
        <v>1.1281619802410163</v>
      </c>
    </row>
    <row r="67" spans="1:11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2484</v>
      </c>
      <c r="D67" s="17">
        <v>1884</v>
      </c>
      <c r="E67" s="10">
        <f t="shared" si="2"/>
        <v>0.31847133757961776</v>
      </c>
      <c r="F67" s="80">
        <v>0.86851211072664336</v>
      </c>
      <c r="G67" s="83">
        <v>26598</v>
      </c>
      <c r="H67" s="17">
        <v>22550</v>
      </c>
      <c r="I67" s="10">
        <f t="shared" si="3"/>
        <v>0.17951219512195116</v>
      </c>
      <c r="J67" s="44">
        <v>0.51600474214582071</v>
      </c>
    </row>
    <row r="68" spans="1:11" x14ac:dyDescent="0.2">
      <c r="A68" s="24" t="str">
        <f>VLOOKUP("&lt;Zeilentitel_44.3&gt;",Uebersetzungen!$B$4:$E$88,Uebersetzungen!$B$2+1,FALSE)</f>
        <v>übriges Südostasien</v>
      </c>
      <c r="B68" s="5"/>
      <c r="C68" s="13">
        <v>1583</v>
      </c>
      <c r="D68" s="17">
        <v>3103</v>
      </c>
      <c r="E68" s="10">
        <f t="shared" si="2"/>
        <v>-0.48984853367708669</v>
      </c>
      <c r="F68" s="80">
        <v>-3.5109106424478842E-2</v>
      </c>
      <c r="G68" s="83">
        <v>14655</v>
      </c>
      <c r="H68" s="17">
        <v>15115</v>
      </c>
      <c r="I68" s="10">
        <f t="shared" si="3"/>
        <v>-3.043334435990741E-2</v>
      </c>
      <c r="J68" s="44">
        <v>0.4600976387366742</v>
      </c>
    </row>
    <row r="69" spans="1:11" x14ac:dyDescent="0.2">
      <c r="A69" s="24" t="str">
        <f>VLOOKUP("&lt;Zeilentitel_44.4&gt;",Uebersetzungen!$B$4:$E$88,Uebersetzungen!$B$2+1,FALSE)</f>
        <v>übriges Osteuropa</v>
      </c>
      <c r="B69" s="5"/>
      <c r="C69" s="13">
        <v>1282</v>
      </c>
      <c r="D69" s="17">
        <v>1096</v>
      </c>
      <c r="E69" s="10">
        <f t="shared" si="2"/>
        <v>0.16970802919708028</v>
      </c>
      <c r="F69" s="80">
        <v>0.68020969855832236</v>
      </c>
      <c r="G69" s="83">
        <v>30378</v>
      </c>
      <c r="H69" s="17">
        <v>25109</v>
      </c>
      <c r="I69" s="10">
        <f t="shared" si="3"/>
        <v>0.20984507547094666</v>
      </c>
      <c r="J69" s="44">
        <v>0.19246319921491661</v>
      </c>
    </row>
    <row r="70" spans="1:11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1501</v>
      </c>
      <c r="D70" s="17">
        <v>747</v>
      </c>
      <c r="E70" s="10">
        <f t="shared" si="2"/>
        <v>1.0093708165997324</v>
      </c>
      <c r="F70" s="80">
        <v>3.5706455542021924</v>
      </c>
      <c r="G70" s="83">
        <v>10653</v>
      </c>
      <c r="H70" s="17">
        <v>8162</v>
      </c>
      <c r="I70" s="10">
        <f t="shared" si="3"/>
        <v>0.30519480519480524</v>
      </c>
      <c r="J70" s="44">
        <v>1.3582149023774739</v>
      </c>
    </row>
    <row r="71" spans="1:11" x14ac:dyDescent="0.2">
      <c r="A71" s="24" t="str">
        <f>VLOOKUP("&lt;Zeilentitel_44.6&gt;",Uebersetzungen!$B$4:$E$88,Uebersetzungen!$B$2+1,FALSE)</f>
        <v>Afrikanischer Kontinent</v>
      </c>
      <c r="B71" s="5"/>
      <c r="C71" s="13">
        <v>184</v>
      </c>
      <c r="D71" s="17">
        <v>143</v>
      </c>
      <c r="E71" s="10">
        <f t="shared" si="2"/>
        <v>0.28671328671328666</v>
      </c>
      <c r="F71" s="80">
        <v>0.70370370370370372</v>
      </c>
      <c r="G71" s="83">
        <v>3859</v>
      </c>
      <c r="H71" s="17">
        <v>4616</v>
      </c>
      <c r="I71" s="10">
        <f t="shared" si="3"/>
        <v>-0.16399480069324091</v>
      </c>
      <c r="J71" s="44">
        <v>0.42640644636652625</v>
      </c>
    </row>
    <row r="72" spans="1:11" x14ac:dyDescent="0.2">
      <c r="A72" s="24" t="str">
        <f>VLOOKUP("&lt;Zeilentitel_44.7&gt;",Uebersetzungen!$B$4:$E$88,Uebersetzungen!$B$2+1,FALSE)</f>
        <v>Südosteuropa</v>
      </c>
      <c r="B72" s="5"/>
      <c r="C72" s="13">
        <v>539</v>
      </c>
      <c r="D72" s="17">
        <v>638</v>
      </c>
      <c r="E72" s="10">
        <f t="shared" si="2"/>
        <v>-0.15517241379310343</v>
      </c>
      <c r="F72" s="80">
        <v>0.44892473118279574</v>
      </c>
      <c r="G72" s="83">
        <v>20348</v>
      </c>
      <c r="H72" s="17">
        <v>15149</v>
      </c>
      <c r="I72" s="10">
        <f t="shared" si="3"/>
        <v>0.34319096970097029</v>
      </c>
      <c r="J72" s="44">
        <v>0.93628197320341067</v>
      </c>
    </row>
    <row r="73" spans="1:11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8">
        <v>0</v>
      </c>
      <c r="F73" s="18" t="s">
        <v>41</v>
      </c>
      <c r="G73" s="84">
        <v>0</v>
      </c>
      <c r="H73" s="18">
        <v>0</v>
      </c>
      <c r="I73" s="18">
        <v>0</v>
      </c>
      <c r="J73" s="131" t="s">
        <v>41</v>
      </c>
      <c r="K73" s="132"/>
    </row>
    <row r="74" spans="1:11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189083</v>
      </c>
      <c r="D74" s="40">
        <v>162288</v>
      </c>
      <c r="E74" s="65">
        <f t="shared" si="2"/>
        <v>0.16510770975056688</v>
      </c>
      <c r="F74" s="82">
        <v>0.16162900708958428</v>
      </c>
      <c r="G74" s="79">
        <v>2336949</v>
      </c>
      <c r="H74" s="40">
        <v>2345106</v>
      </c>
      <c r="I74" s="65">
        <f t="shared" si="3"/>
        <v>-3.4783075903604965E-3</v>
      </c>
      <c r="J74" s="66">
        <v>0.11421172067604424</v>
      </c>
    </row>
    <row r="76" spans="1:11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1" ht="10.5" customHeight="1" x14ac:dyDescent="0.2"/>
    <row r="79" spans="1:11" ht="18" x14ac:dyDescent="0.25">
      <c r="A79" s="2" t="str">
        <f>VLOOKUP("&lt;T4Titel3&gt;",Uebersetzungen!$B$4:$E$315,Uebersetzungen!$B$2+1,FALSE)</f>
        <v>Hotel- und Kurbetriebe: Logiernächte im April 2025, nach Schweizer Tourismusregionen</v>
      </c>
      <c r="B79" s="3"/>
      <c r="C79" s="3"/>
      <c r="D79" s="3"/>
      <c r="E79" s="3"/>
      <c r="F79" s="3"/>
    </row>
    <row r="80" spans="1:11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VLOOKUP("&lt;T4SpaltenTitel_1&gt;",Uebersetzungen!$B$4:$E$315,Uebersetzungen!$B$2+1,FALSE)</f>
        <v>April 2025</v>
      </c>
      <c r="D82" s="21" t="str">
        <f>VLOOKUP("&lt;T4SpaltenTitel_2&gt;",Uebersetzungen!$B$4:$E$315,Uebersetzungen!$B$2+1,FALSE)</f>
        <v>April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VLOOKUP("&lt;T4SpaltenTitel_5&gt;",Uebersetzungen!$B$4:$E$315,Uebersetzungen!$B$2+1,FALSE)</f>
        <v>Januar-April 25</v>
      </c>
      <c r="H82" s="22" t="str">
        <f>VLOOKUP("&lt;T4SpaltenTitel_6&gt;",Uebersetzungen!$B$4:$E$315,Uebersetzungen!$B$2+1,FALSE)</f>
        <v>Januar-April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102155</v>
      </c>
      <c r="D83" s="17">
        <v>94389</v>
      </c>
      <c r="E83" s="10">
        <f>C83/D83-1</f>
        <v>8.2276536460816452E-2</v>
      </c>
      <c r="F83" s="80">
        <v>0.49005656540904163</v>
      </c>
      <c r="G83" s="83">
        <v>343495</v>
      </c>
      <c r="H83" s="17">
        <v>324927</v>
      </c>
      <c r="I83" s="10">
        <f>G83/H83-1</f>
        <v>5.7145143370664897E-2</v>
      </c>
      <c r="J83" s="44">
        <v>0.38484717273387714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145497</v>
      </c>
      <c r="D84" s="17">
        <v>132856</v>
      </c>
      <c r="E84" s="10">
        <f t="shared" ref="E84:E96" si="4">C84/D84-1</f>
        <v>9.5148130306497158E-2</v>
      </c>
      <c r="F84" s="80">
        <v>0.50345025698679624</v>
      </c>
      <c r="G84" s="83">
        <v>511597</v>
      </c>
      <c r="H84" s="17">
        <v>467123</v>
      </c>
      <c r="I84" s="10">
        <f t="shared" ref="I84:I96" si="5">G84/H84-1</f>
        <v>9.5208328427416333E-2</v>
      </c>
      <c r="J84" s="44">
        <v>0.49864166494323814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380379</v>
      </c>
      <c r="D85" s="17">
        <v>358072</v>
      </c>
      <c r="E85" s="10">
        <f t="shared" si="4"/>
        <v>6.2297526754395705E-2</v>
      </c>
      <c r="F85" s="80">
        <v>0.49826886036261375</v>
      </c>
      <c r="G85" s="83">
        <v>1566889</v>
      </c>
      <c r="H85" s="17">
        <v>1621620</v>
      </c>
      <c r="I85" s="10">
        <f t="shared" si="5"/>
        <v>-3.3750817084150397E-2</v>
      </c>
      <c r="J85" s="44">
        <v>0.2116447073048251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36688</v>
      </c>
      <c r="D86" s="17">
        <v>39012</v>
      </c>
      <c r="E86" s="10">
        <f t="shared" si="4"/>
        <v>-5.9571413923920846E-2</v>
      </c>
      <c r="F86" s="80">
        <v>0.25013629920401259</v>
      </c>
      <c r="G86" s="83">
        <v>126399</v>
      </c>
      <c r="H86" s="17">
        <v>132755</v>
      </c>
      <c r="I86" s="10">
        <f t="shared" si="5"/>
        <v>-4.7877669390983368E-2</v>
      </c>
      <c r="J86" s="44">
        <v>0.23686311809396332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287255</v>
      </c>
      <c r="D87" s="17">
        <v>291380</v>
      </c>
      <c r="E87" s="10">
        <f t="shared" si="4"/>
        <v>-1.4156771226576992E-2</v>
      </c>
      <c r="F87" s="80">
        <v>0.70194121606249071</v>
      </c>
      <c r="G87" s="83">
        <v>1108914</v>
      </c>
      <c r="H87" s="17">
        <v>1067284</v>
      </c>
      <c r="I87" s="10">
        <f t="shared" si="5"/>
        <v>3.9005550537626332E-2</v>
      </c>
      <c r="J87" s="44">
        <v>0.56069227488892048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189083</v>
      </c>
      <c r="D88" s="62">
        <v>162288</v>
      </c>
      <c r="E88" s="63">
        <f t="shared" si="4"/>
        <v>0.16510770975056688</v>
      </c>
      <c r="F88" s="85">
        <v>0.16162900708958428</v>
      </c>
      <c r="G88" s="87">
        <v>2336949</v>
      </c>
      <c r="H88" s="62">
        <v>2345106</v>
      </c>
      <c r="I88" s="63">
        <f t="shared" si="5"/>
        <v>-3.4783075903604965E-3</v>
      </c>
      <c r="J88" s="64">
        <v>0.11421172067604424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48524</v>
      </c>
      <c r="D89" s="17">
        <v>47560</v>
      </c>
      <c r="E89" s="10">
        <f t="shared" si="4"/>
        <v>2.0269133725820065E-2</v>
      </c>
      <c r="F89" s="80">
        <v>0.22204537212394748</v>
      </c>
      <c r="G89" s="83">
        <v>148064</v>
      </c>
      <c r="H89" s="17">
        <v>149180</v>
      </c>
      <c r="I89" s="10">
        <f t="shared" si="5"/>
        <v>-7.4808955624078299E-3</v>
      </c>
      <c r="J89" s="44">
        <v>0.19038583988834512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305505</v>
      </c>
      <c r="D90" s="17">
        <v>281891</v>
      </c>
      <c r="E90" s="10">
        <f t="shared" si="4"/>
        <v>8.3769967824442793E-2</v>
      </c>
      <c r="F90" s="80">
        <v>0.45694615730182742</v>
      </c>
      <c r="G90" s="83">
        <v>1071501</v>
      </c>
      <c r="H90" s="17">
        <v>1043932</v>
      </c>
      <c r="I90" s="10">
        <f t="shared" si="5"/>
        <v>2.6408808236551895E-2</v>
      </c>
      <c r="J90" s="44">
        <v>0.29388799999999993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140961</v>
      </c>
      <c r="D91" s="17">
        <v>142650</v>
      </c>
      <c r="E91" s="10">
        <f t="shared" si="4"/>
        <v>-1.184016824395373E-2</v>
      </c>
      <c r="F91" s="80">
        <v>0.18562025095002022</v>
      </c>
      <c r="G91" s="83">
        <v>534725</v>
      </c>
      <c r="H91" s="17">
        <v>541942</v>
      </c>
      <c r="I91" s="10">
        <f t="shared" si="5"/>
        <v>-1.3316923213185228E-2</v>
      </c>
      <c r="J91" s="44">
        <v>0.1579126757684266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214064</v>
      </c>
      <c r="D92" s="17">
        <v>218002</v>
      </c>
      <c r="E92" s="10">
        <f t="shared" si="4"/>
        <v>-1.8064054458216017E-2</v>
      </c>
      <c r="F92" s="80">
        <v>-1.2016563620956711E-2</v>
      </c>
      <c r="G92" s="83">
        <v>479223</v>
      </c>
      <c r="H92" s="17">
        <v>490407</v>
      </c>
      <c r="I92" s="10">
        <f t="shared" si="5"/>
        <v>-2.2805547229138301E-2</v>
      </c>
      <c r="J92" s="44">
        <v>1.3428552698081742E-2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215941</v>
      </c>
      <c r="D93" s="17">
        <v>203396</v>
      </c>
      <c r="E93" s="10">
        <f t="shared" si="4"/>
        <v>6.1677712442722576E-2</v>
      </c>
      <c r="F93" s="80">
        <v>0.41173524823909835</v>
      </c>
      <c r="G93" s="83">
        <v>820871</v>
      </c>
      <c r="H93" s="17">
        <v>776375</v>
      </c>
      <c r="I93" s="10">
        <f t="shared" si="5"/>
        <v>5.731251006279181E-2</v>
      </c>
      <c r="J93" s="44">
        <v>0.30253318252674655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259845</v>
      </c>
      <c r="D94" s="17">
        <v>244883</v>
      </c>
      <c r="E94" s="33">
        <f t="shared" si="4"/>
        <v>6.1098565437372132E-2</v>
      </c>
      <c r="F94" s="80">
        <v>0.21021039482913273</v>
      </c>
      <c r="G94" s="83">
        <v>1745949</v>
      </c>
      <c r="H94" s="17">
        <v>1761795</v>
      </c>
      <c r="I94" s="33">
        <f t="shared" si="5"/>
        <v>-8.9942359922692283E-3</v>
      </c>
      <c r="J94" s="44">
        <v>0.14217139011290292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581460</v>
      </c>
      <c r="D95" s="18">
        <v>560235</v>
      </c>
      <c r="E95" s="43">
        <f t="shared" si="4"/>
        <v>3.788588717234731E-2</v>
      </c>
      <c r="F95" s="11">
        <v>0.68752002526085088</v>
      </c>
      <c r="G95" s="84">
        <v>2028070</v>
      </c>
      <c r="H95" s="18">
        <v>1928621</v>
      </c>
      <c r="I95" s="43">
        <f t="shared" si="5"/>
        <v>5.1564822741222871E-2</v>
      </c>
      <c r="J95" s="48">
        <v>0.54692190709056154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2907357</v>
      </c>
      <c r="D96" s="40">
        <v>2776614</v>
      </c>
      <c r="E96" s="41">
        <f t="shared" si="4"/>
        <v>4.7087207656519858E-2</v>
      </c>
      <c r="F96" s="86">
        <v>0.39958011012914496</v>
      </c>
      <c r="G96" s="79">
        <v>12822646</v>
      </c>
      <c r="H96" s="40">
        <v>12651067</v>
      </c>
      <c r="I96" s="41">
        <f t="shared" si="5"/>
        <v>1.3562413352170122E-2</v>
      </c>
      <c r="J96" s="45">
        <v>0.26334265793903966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VLOOKUP("&lt;T4Aktualisierung&gt;",Uebersetzungen!$B$4:$E$315,Uebersetzungen!$B$2+1,FALSE)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VLOOKUP("&lt;T4Legende_3&gt;",Uebersetzungen!$B$4:$E$315,Uebersetzungen!$B$2+1,FALSE)</f>
        <v>Daten des Mai 2025 erscheinen am 7. Juli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800-000000000000}"/>
    <hyperlink ref="E76" location="Länder_Pajais_Paesi!A1" display="Länder / Pajais / Paese" xr:uid="{00000000-0004-0000-08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C7E3B5B685244E9F316DC5AF52F3F3" ma:contentTypeVersion="6" ma:contentTypeDescription="Ein neues Dokument erstellen." ma:contentTypeScope="" ma:versionID="5922a524ea719d7172c03bd4767f06ed">
  <xsd:schema xmlns:xsd="http://www.w3.org/2001/XMLSchema" xmlns:xs="http://www.w3.org/2001/XMLSchema" xmlns:p="http://schemas.microsoft.com/office/2006/metadata/properties" xmlns:ns1="http://schemas.microsoft.com/sharepoint/v3" xmlns:ns2="a85bdc46-611b-4a7e-936f-e8248c6e1bca" targetNamespace="http://schemas.microsoft.com/office/2006/metadata/properties" ma:root="true" ma:fieldsID="2f5bd5d7e51ad7ad358f4884b85fdf5e" ns1:_="" ns2:_="">
    <xsd:import namespace="http://schemas.microsoft.com/sharepoint/v3"/>
    <xsd:import namespace="a85bdc46-611b-4a7e-936f-e8248c6e1bc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bdc46-611b-4a7e-936f-e8248c6e1bca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a85bdc46-611b-4a7e-936f-e8248c6e1bca">1002</Benutzerdefinierte_x0020_ID>
    <Kategorie xmlns="a85bdc46-611b-4a7e-936f-e8248c6e1bca">Beherbergungsstatistik</Kategorie>
    <Titel_DE xmlns="a85bdc46-611b-4a7e-936f-e8248c6e1bca">Beherbergungsstatistik Graubünden, Monatsdaten 2025</Titel_DE>
    <PublishingExpirationDate xmlns="http://schemas.microsoft.com/sharepoint/v3" xsi:nil="true"/>
    <PublishingStartDate xmlns="http://schemas.microsoft.com/sharepoint/v3" xsi:nil="true"/>
    <Titel_IT xmlns="a85bdc46-611b-4a7e-936f-e8248c6e1bca">Statistica della ricettività turistica nei Grigioni, dati mensili 2025</Titel_IT>
    <Titel_RM xmlns="a85bdc46-611b-4a7e-936f-e8248c6e1bca">Statistica dals alloschaments dal Grischun, datas mensilas dal 2025</Titel_R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161B5-5217-495C-B13E-BDB748067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5bdc46-611b-4a7e-936f-e8248c6e1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3EBB7A-2D32-4548-B33C-98A0BF510CC6}">
  <ds:schemaRefs>
    <ds:schemaRef ds:uri="http://schemas.microsoft.com/office/2006/metadata/properties"/>
    <ds:schemaRef ds:uri="http://schemas.microsoft.com/office/infopath/2007/PartnerControls"/>
    <ds:schemaRef ds:uri="a85bdc46-611b-4a7e-936f-e8248c6e1bc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BB51C38-0810-47C0-BC0E-2496931C61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13</vt:i4>
      </vt:variant>
    </vt:vector>
  </HeadingPairs>
  <TitlesOfParts>
    <vt:vector size="27" baseType="lpstr">
      <vt:lpstr>Dezember</vt:lpstr>
      <vt:lpstr>November</vt:lpstr>
      <vt:lpstr>Oktober</vt:lpstr>
      <vt:lpstr>September</vt:lpstr>
      <vt:lpstr>August</vt:lpstr>
      <vt:lpstr>Juli</vt:lpstr>
      <vt:lpstr>Juni</vt:lpstr>
      <vt:lpstr>Mai</vt:lpstr>
      <vt:lpstr>April</vt:lpstr>
      <vt:lpstr>März</vt:lpstr>
      <vt:lpstr>Februar</vt:lpstr>
      <vt:lpstr>Januar</vt:lpstr>
      <vt:lpstr>Länder_Pajais_Paesi</vt:lpstr>
      <vt:lpstr>Uebersetzungen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Länder_Pajais_Paesi!Druckbereich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Beherbergungsstatistik Graubünden Monatsauswertungen</dc:title>
  <dc:creator>Luzius Stricker</dc:creator>
  <cp:lastModifiedBy>Monstein Urs (AWT GR)</cp:lastModifiedBy>
  <cp:lastPrinted>2025-01-30T06:15:38Z</cp:lastPrinted>
  <dcterms:created xsi:type="dcterms:W3CDTF">2012-02-14T12:10:20Z</dcterms:created>
  <dcterms:modified xsi:type="dcterms:W3CDTF">2026-02-24T12:12:30Z</dcterms:modified>
  <cp:category>Beherbergungsstatistik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2025-05-06T08:19:03Z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35d790df-5756-441a-9506-a0bcfe53cea3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0x01010061C7E3B5B685244E9F316DC5AF52F3F3</vt:lpwstr>
  </property>
</Properties>
</file>