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10 TOURISMUS\HESTA ab 2017\Monatsdaten\Monatsauswertungen 2025\"/>
    </mc:Choice>
  </mc:AlternateContent>
  <xr:revisionPtr revIDLastSave="0" documentId="13_ncr:1_{C8D872FC-E22C-402A-A46D-E4C67D0790C9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Auslastung_Occupaziun_Occupazio" sheetId="18" r:id="rId1"/>
    <sheet name="Uebersetzungen" sheetId="5" state="hidden" r:id="rId2"/>
  </sheets>
  <definedNames>
    <definedName name="_xlnm.Print_Area" localSheetId="0">Auslastung_Occupaziun_Occupazio!$A$1:$N$100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5" l="1"/>
  <c r="E9" i="5"/>
  <c r="D9" i="5"/>
  <c r="C9" i="5"/>
  <c r="A69" i="18" s="1"/>
  <c r="A66" i="18"/>
  <c r="A65" i="18"/>
  <c r="B63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A42" i="18"/>
  <c r="A40" i="18"/>
  <c r="A95" i="18" l="1"/>
  <c r="A36" i="18"/>
  <c r="A96" i="18"/>
  <c r="E8" i="5"/>
  <c r="E7" i="5"/>
  <c r="D8" i="5"/>
  <c r="D7" i="5"/>
  <c r="C8" i="5"/>
  <c r="A39" i="18" s="1"/>
  <c r="C7" i="5"/>
  <c r="A35" i="18" l="1"/>
  <c r="B93" i="18" l="1"/>
  <c r="B33" i="18"/>
  <c r="A98" i="18"/>
  <c r="N72" i="18"/>
  <c r="M72" i="18"/>
  <c r="L72" i="18"/>
  <c r="K72" i="18"/>
  <c r="J72" i="18"/>
  <c r="I72" i="18"/>
  <c r="H72" i="18"/>
  <c r="G72" i="18"/>
  <c r="F72" i="18"/>
  <c r="E72" i="18"/>
  <c r="D72" i="18"/>
  <c r="C72" i="18"/>
  <c r="A7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A12" i="18"/>
  <c r="A70" i="18"/>
  <c r="A9" i="18"/>
  <c r="A100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10" i="18" l="1"/>
  <c r="A99" i="18" l="1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7" i="18"/>
</calcChain>
</file>

<file path=xl/sharedStrings.xml><?xml version="1.0" encoding="utf-8"?>
<sst xmlns="http://schemas.openxmlformats.org/spreadsheetml/2006/main" count="201" uniqueCount="148">
  <si>
    <t>Davos Klosters</t>
  </si>
  <si>
    <t>Flims Laax</t>
  </si>
  <si>
    <t>Chur</t>
  </si>
  <si>
    <t>Lenzerheide</t>
  </si>
  <si>
    <t>Prättigau</t>
  </si>
  <si>
    <t>Valposchiavo</t>
  </si>
  <si>
    <t>Viamala</t>
  </si>
  <si>
    <t>Bergün Filisur</t>
  </si>
  <si>
    <t>Disentis Sedrun</t>
  </si>
  <si>
    <t>Vals</t>
  </si>
  <si>
    <t>Graubünden</t>
  </si>
  <si>
    <t>San Bernardino, Mesolcina/Calanca</t>
  </si>
  <si>
    <t>Bündner Herrschaft</t>
  </si>
  <si>
    <t>Arosa</t>
  </si>
  <si>
    <t>Surselva</t>
  </si>
  <si>
    <t>Bregaglia Engadin</t>
  </si>
  <si>
    <t>Engadin St. Moritz</t>
  </si>
  <si>
    <t>Scuol Samnaun Val Müstair</t>
  </si>
  <si>
    <t>Aktuelle Zuordnung der politischen Gemeinden zu Destinationen:</t>
  </si>
  <si>
    <t>Kontakt: Luzius Stricker, 081 257 23 74, luzius.stricker@awt.gr.ch</t>
  </si>
  <si>
    <t>Val Surses</t>
  </si>
  <si>
    <t xml:space="preserve"> 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</si>
  <si>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</si>
  <si>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</si>
  <si>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</si>
  <si>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</si>
  <si>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</si>
  <si>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</si>
  <si>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</si>
  <si>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</si>
  <si>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</si>
  <si>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</si>
  <si>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</si>
  <si>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T1-2</t>
  </si>
  <si>
    <t>&lt;SpaltenTitel_1&gt;</t>
  </si>
  <si>
    <t>&lt;SpaltenTitel_2&gt;</t>
  </si>
  <si>
    <t>&lt;SpaltenTitel_3&gt;</t>
  </si>
  <si>
    <t>&lt;Zeilentitel_25&gt;</t>
  </si>
  <si>
    <t>&lt;Zeilentitel_26&gt;</t>
  </si>
  <si>
    <t>&lt;Zeilentitel_27&gt;</t>
  </si>
  <si>
    <t>&lt;Legende_1&gt;</t>
  </si>
  <si>
    <t>&lt;Legende_2&gt;</t>
  </si>
  <si>
    <t>&lt;Quelle_1&gt;</t>
  </si>
  <si>
    <t>&lt;Aktualisierung&gt;</t>
  </si>
  <si>
    <t>Quelle: BFS (HESTA)</t>
  </si>
  <si>
    <t>&lt;Titel1&gt;</t>
  </si>
  <si>
    <t>&lt;Titel2&gt;</t>
  </si>
  <si>
    <t>&lt;Titel3&gt;</t>
  </si>
  <si>
    <t>&lt;Zeilentitel_28&gt;</t>
  </si>
  <si>
    <t>&lt;Zeilentitel_29&gt;</t>
  </si>
  <si>
    <t>&lt;Zeilentitel_30&gt;</t>
  </si>
  <si>
    <t>&lt;Zeilentitel_31&gt;</t>
  </si>
  <si>
    <t>&lt;Zeilentitel_32&gt;</t>
  </si>
  <si>
    <t>&lt;Zeilentitel_33&gt;</t>
  </si>
  <si>
    <t>&lt;Zeilentitel_34&gt;</t>
  </si>
  <si>
    <t>&lt;Zeilentitel_35&gt;</t>
  </si>
  <si>
    <t>&lt;Zeilentitel_36&gt;</t>
  </si>
  <si>
    <t>&lt;Zeilentitel_37&gt;</t>
  </si>
  <si>
    <t>&lt;Zeilentitel_38&gt;</t>
  </si>
  <si>
    <t>&lt;Zeilentitel_39&gt;</t>
  </si>
  <si>
    <t>&lt;Zeilentitel_40&gt;</t>
  </si>
  <si>
    <t>&lt;Zeilentitel_41&gt;</t>
  </si>
  <si>
    <t>&lt;Zeilentitel_42&gt;</t>
  </si>
  <si>
    <t>&lt;Zeilentitel_43&gt;</t>
  </si>
  <si>
    <t>&lt;Zeilentitel_44&gt;</t>
  </si>
  <si>
    <t>&lt;SpaltenTitel_4&gt;</t>
  </si>
  <si>
    <t>&lt;SpaltenTitel_5&gt;</t>
  </si>
  <si>
    <t>&lt;SpaltenTitel_6&gt;</t>
  </si>
  <si>
    <t>&lt;SpaltenTitel_7&gt;</t>
  </si>
  <si>
    <t>&lt;SpaltenTitel_8&gt;</t>
  </si>
  <si>
    <t>Attribuziun actuala da las vischnancas politicas a destinaziuns:</t>
  </si>
  <si>
    <t>Contact: Luzius Stricker, 081 257 23 74, luzius.stricker@awt.gr.ch</t>
  </si>
  <si>
    <t>Contatto: Luzius Stricker, 081 257 23 74, luzius.stricker@awt.gr.ch</t>
  </si>
  <si>
    <t>Attuale assegnazione dei comuni politici alle destinazioni:</t>
  </si>
  <si>
    <t>Grischun</t>
  </si>
  <si>
    <t>Grigioni</t>
  </si>
  <si>
    <t xml:space="preserve">Arosa </t>
  </si>
  <si>
    <t>Bündner Herschaft</t>
  </si>
  <si>
    <t>Funtauna: UST (HESTA)</t>
  </si>
  <si>
    <t>Fonte: UST (HESTA)</t>
  </si>
  <si>
    <t>INPUT JAHRESZAHL</t>
  </si>
  <si>
    <t>&lt;Titelprov&gt;</t>
  </si>
  <si>
    <t>definitive Ergebnisse</t>
  </si>
  <si>
    <t>resultats definitivs</t>
  </si>
  <si>
    <t>cifre definitive</t>
  </si>
  <si>
    <t>provisorische Ergebnisse</t>
  </si>
  <si>
    <t>&lt;Titeldef&gt;</t>
  </si>
  <si>
    <t>&lt;SpaltenTitel_9&gt;</t>
  </si>
  <si>
    <t>&lt;SpaltenTitel_10&gt;</t>
  </si>
  <si>
    <t>&lt;SpaltenTitel_11&gt;</t>
  </si>
  <si>
    <t>&lt;SpaltenTitel_12&gt;</t>
  </si>
  <si>
    <t>&lt;SpaltenTitel_13&gt;</t>
  </si>
  <si>
    <t>Destination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</si>
  <si>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</si>
  <si>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</si>
  <si>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</si>
  <si>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</si>
  <si>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</si>
  <si>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</si>
  <si>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</si>
  <si>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</si>
  <si>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</si>
  <si>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</si>
  <si>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</si>
  <si>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</si>
  <si>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Farbskala:</t>
  </si>
  <si>
    <t>resultats provisorics</t>
  </si>
  <si>
    <t>cifre provvisorie</t>
  </si>
  <si>
    <t>Destinaziun</t>
  </si>
  <si>
    <t>Destinazione</t>
  </si>
  <si>
    <t>Marzo</t>
  </si>
  <si>
    <t>Maggio</t>
  </si>
  <si>
    <t>Luglio</t>
  </si>
  <si>
    <t>Settembre</t>
  </si>
  <si>
    <t>Gennaio</t>
  </si>
  <si>
    <t>Febbraio</t>
  </si>
  <si>
    <t>Aprile</t>
  </si>
  <si>
    <t>Giugno</t>
  </si>
  <si>
    <t>Agosto</t>
  </si>
  <si>
    <t>Ottobre</t>
  </si>
  <si>
    <t>Novembre</t>
  </si>
  <si>
    <t>Dicembre</t>
  </si>
  <si>
    <t>Schaner</t>
  </si>
  <si>
    <t>Fevrer</t>
  </si>
  <si>
    <t>Mars</t>
  </si>
  <si>
    <t>Avrigl</t>
  </si>
  <si>
    <t>Matg</t>
  </si>
  <si>
    <t>Zercladur</t>
  </si>
  <si>
    <t>Fanadur</t>
  </si>
  <si>
    <t>October</t>
  </si>
  <si>
    <t>Avust</t>
  </si>
  <si>
    <t>Scala da colurs:</t>
  </si>
  <si>
    <t>Scala die colori:</t>
  </si>
  <si>
    <t>Destinationen/destinaziuns/destinazioni</t>
  </si>
  <si>
    <t>December</t>
  </si>
  <si>
    <t>&lt;Legende_3&gt;</t>
  </si>
  <si>
    <t>* Berechnungsgrundlage: Bruttozimmerauslastung = Zimmernächte / (Zimmer * Anzahl Kalendertage)</t>
  </si>
  <si>
    <t>* Basa da calculaziun: occupaziun da las chombras brutta = pernottaziuns en las chombras / (dumber da chombras * dis da chalender)</t>
  </si>
  <si>
    <t>* Base di calcolazione: occupazione delle camere lorda = pernottamenti in camera / (numero di cambere * giorni di calendario)</t>
  </si>
  <si>
    <t>30-40%</t>
  </si>
  <si>
    <t>40-50%</t>
  </si>
  <si>
    <t>60-70%</t>
  </si>
  <si>
    <t>50-60%</t>
  </si>
  <si>
    <r>
      <rPr>
        <sz val="10"/>
        <color theme="1"/>
        <rFont val="Calibri"/>
        <family val="2"/>
      </rPr>
      <t>≥</t>
    </r>
    <r>
      <rPr>
        <sz val="10"/>
        <color theme="1"/>
        <rFont val="Arial"/>
        <family val="2"/>
      </rPr>
      <t>70%</t>
    </r>
  </si>
  <si>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>30%</t>
    </r>
  </si>
  <si>
    <t>Letztmals aktualisiert am: 08.12.2025</t>
  </si>
  <si>
    <t>Ultima actualisaziun: 08.12.2025</t>
  </si>
  <si>
    <t>Ultimo aggiornamento: 08.12.2025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</si>
</sst>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_ * #,##0_ ;_ * \-#,##0_ ;_ * &quot;-&quot;??_ ;_ @_ 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sz val="10"/>
      <name val="Helv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Segoe UI"/>
      <family val="2"/>
    </font>
    <font>
      <b/>
      <sz val="18"/>
      <name val="Arial"/>
      <family val="2"/>
    </font>
    <font>
      <b/>
      <sz val="10"/>
      <color indexed="8"/>
      <name val="Arial Narrow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8696B"/>
        <bgColor indexed="64"/>
      </patternFill>
    </fill>
    <fill>
      <patternFill patternType="solid">
        <fgColor rgb="FFFB9275"/>
        <bgColor indexed="64"/>
      </patternFill>
    </fill>
    <fill>
      <patternFill patternType="solid">
        <fgColor rgb="FFFEBB72"/>
        <bgColor indexed="64"/>
      </patternFill>
    </fill>
    <fill>
      <patternFill patternType="solid">
        <fgColor rgb="FFC8D54D"/>
        <bgColor indexed="64"/>
      </patternFill>
    </fill>
    <fill>
      <patternFill patternType="solid">
        <fgColor rgb="FF87C45E"/>
        <bgColor indexed="64"/>
      </patternFill>
    </fill>
    <fill>
      <patternFill patternType="solid">
        <fgColor rgb="FF4BB36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1" fillId="0" borderId="0"/>
    <xf numFmtId="0" fontId="8" fillId="0" borderId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0" fontId="11" fillId="0" borderId="0"/>
    <xf numFmtId="0" fontId="13" fillId="0" borderId="0" applyNumberFormat="0" applyBorder="0" applyAlignment="0"/>
    <xf numFmtId="43" fontId="13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69">
    <xf numFmtId="0" fontId="0" fillId="0" borderId="0" xfId="0"/>
    <xf numFmtId="0" fontId="6" fillId="2" borderId="0" xfId="1" applyFont="1" applyFill="1" applyBorder="1"/>
    <xf numFmtId="0" fontId="7" fillId="2" borderId="0" xfId="1" applyFont="1" applyFill="1" applyAlignment="1" applyProtection="1">
      <alignment horizontal="left"/>
      <protection locked="0"/>
    </xf>
    <xf numFmtId="0" fontId="3" fillId="2" borderId="0" xfId="1" applyFill="1"/>
    <xf numFmtId="0" fontId="0" fillId="2" borderId="0" xfId="0" applyFill="1"/>
    <xf numFmtId="17" fontId="0" fillId="3" borderId="3" xfId="0" applyNumberFormat="1" applyFill="1" applyBorder="1" applyAlignment="1">
      <alignment horizontal="right" vertical="center" wrapText="1"/>
    </xf>
    <xf numFmtId="0" fontId="0" fillId="3" borderId="4" xfId="0" applyNumberFormat="1" applyFill="1" applyBorder="1" applyAlignment="1">
      <alignment horizontal="right" vertical="center" wrapText="1"/>
    </xf>
    <xf numFmtId="0" fontId="0" fillId="3" borderId="5" xfId="0" applyNumberForma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vertical="center"/>
    </xf>
    <xf numFmtId="165" fontId="2" fillId="2" borderId="0" xfId="5" applyNumberFormat="1" applyFont="1" applyFill="1" applyBorder="1" applyAlignment="1">
      <alignment horizontal="right" vertical="center"/>
    </xf>
    <xf numFmtId="0" fontId="2" fillId="2" borderId="0" xfId="0" applyFont="1" applyFill="1"/>
    <xf numFmtId="0" fontId="2" fillId="2" borderId="0" xfId="0" applyFont="1" applyFill="1" applyBorder="1"/>
    <xf numFmtId="165" fontId="1" fillId="2" borderId="0" xfId="5" applyNumberFormat="1" applyFont="1" applyFill="1" applyBorder="1" applyAlignment="1">
      <alignment horizontal="right" vertical="center"/>
    </xf>
    <xf numFmtId="164" fontId="1" fillId="2" borderId="0" xfId="6" applyNumberFormat="1" applyFont="1" applyFill="1" applyBorder="1" applyAlignment="1">
      <alignment horizontal="right" vertical="center"/>
    </xf>
    <xf numFmtId="164" fontId="0" fillId="2" borderId="0" xfId="0" applyNumberFormat="1" applyFont="1" applyFill="1" applyBorder="1" applyAlignment="1">
      <alignment horizontal="right" vertical="center"/>
    </xf>
    <xf numFmtId="0" fontId="3" fillId="2" borderId="0" xfId="0" applyFont="1" applyFill="1"/>
    <xf numFmtId="0" fontId="5" fillId="2" borderId="0" xfId="0" applyFont="1" applyFill="1"/>
    <xf numFmtId="0" fontId="3" fillId="0" borderId="0" xfId="0" applyFont="1" applyBorder="1" applyAlignment="1">
      <alignment horizontal="left" vertical="top" wrapText="1"/>
    </xf>
    <xf numFmtId="0" fontId="3" fillId="8" borderId="0" xfId="0" applyFont="1" applyFill="1" applyBorder="1" applyAlignment="1">
      <alignment horizontal="left" vertical="top" wrapText="1"/>
    </xf>
    <xf numFmtId="0" fontId="12" fillId="6" borderId="0" xfId="0" applyFont="1" applyFill="1" applyBorder="1" applyAlignment="1">
      <alignment horizontal="left" vertical="top" wrapText="1"/>
    </xf>
    <xf numFmtId="0" fontId="3" fillId="6" borderId="0" xfId="0" applyFont="1" applyFill="1" applyBorder="1" applyAlignment="1">
      <alignment horizontal="left" vertical="top" wrapText="1"/>
    </xf>
    <xf numFmtId="0" fontId="12" fillId="5" borderId="0" xfId="0" applyFont="1" applyFill="1" applyBorder="1" applyAlignment="1">
      <alignment horizontal="left" vertical="top" wrapText="1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3" fillId="7" borderId="0" xfId="0" applyFont="1" applyFill="1" applyBorder="1" applyAlignment="1">
      <alignment horizontal="left" vertical="center" wrapText="1"/>
    </xf>
    <xf numFmtId="0" fontId="3" fillId="8" borderId="0" xfId="0" applyFont="1" applyFill="1" applyBorder="1" applyAlignment="1">
      <alignment wrapText="1"/>
    </xf>
    <xf numFmtId="0" fontId="5" fillId="2" borderId="0" xfId="1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12" fillId="9" borderId="0" xfId="0" applyFont="1" applyFill="1" applyBorder="1" applyAlignment="1">
      <alignment horizontal="left" vertical="top" wrapText="1"/>
    </xf>
    <xf numFmtId="0" fontId="12" fillId="9" borderId="0" xfId="0" applyFont="1" applyFill="1" applyBorder="1" applyAlignment="1" applyProtection="1">
      <alignment horizontal="left" vertical="top" wrapText="1"/>
      <protection locked="0"/>
    </xf>
    <xf numFmtId="0" fontId="3" fillId="9" borderId="0" xfId="0" applyFont="1" applyFill="1" applyBorder="1" applyAlignment="1">
      <alignment horizontal="left" vertical="top" wrapText="1"/>
    </xf>
    <xf numFmtId="0" fontId="3" fillId="9" borderId="0" xfId="0" applyFont="1" applyFill="1" applyBorder="1" applyAlignment="1">
      <alignment horizontal="right" vertical="top" wrapText="1"/>
    </xf>
    <xf numFmtId="0" fontId="15" fillId="9" borderId="7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9" fillId="7" borderId="0" xfId="0" applyFont="1" applyFill="1" applyAlignment="1">
      <alignment horizontal="left" vertical="center"/>
    </xf>
    <xf numFmtId="0" fontId="16" fillId="7" borderId="0" xfId="0" applyFont="1" applyFill="1" applyAlignment="1">
      <alignment horizontal="left" vertical="top"/>
    </xf>
    <xf numFmtId="165" fontId="16" fillId="7" borderId="0" xfId="5" applyNumberFormat="1" applyFont="1" applyFill="1" applyBorder="1" applyAlignment="1" applyProtection="1">
      <alignment horizontal="left" vertical="top"/>
    </xf>
    <xf numFmtId="0" fontId="1" fillId="2" borderId="0" xfId="0" applyFont="1" applyFill="1"/>
    <xf numFmtId="0" fontId="5" fillId="2" borderId="0" xfId="1" applyFont="1" applyFill="1" applyBorder="1" applyAlignment="1">
      <alignment horizontal="left" vertical="top" wrapText="1"/>
    </xf>
    <xf numFmtId="17" fontId="0" fillId="3" borderId="4" xfId="0" applyNumberFormat="1" applyFill="1" applyBorder="1" applyAlignment="1">
      <alignment horizontal="right" vertical="center" wrapText="1"/>
    </xf>
    <xf numFmtId="17" fontId="0" fillId="3" borderId="2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vertical="center"/>
    </xf>
    <xf numFmtId="0" fontId="0" fillId="2" borderId="0" xfId="0" applyFill="1" applyBorder="1"/>
    <xf numFmtId="164" fontId="0" fillId="0" borderId="9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0" fontId="3" fillId="2" borderId="0" xfId="3" applyFont="1" applyFill="1" applyBorder="1"/>
    <xf numFmtId="0" fontId="2" fillId="3" borderId="14" xfId="0" applyFont="1" applyFill="1" applyBorder="1" applyAlignment="1">
      <alignment vertical="center"/>
    </xf>
    <xf numFmtId="0" fontId="0" fillId="3" borderId="15" xfId="0" applyFill="1" applyBorder="1"/>
    <xf numFmtId="164" fontId="0" fillId="10" borderId="16" xfId="0" applyNumberFormat="1" applyFill="1" applyBorder="1" applyAlignment="1">
      <alignment horizontal="right" vertical="center"/>
    </xf>
    <xf numFmtId="0" fontId="0" fillId="11" borderId="16" xfId="0" applyFill="1" applyBorder="1" applyAlignment="1">
      <alignment horizontal="right" vertical="center"/>
    </xf>
    <xf numFmtId="164" fontId="0" fillId="12" borderId="16" xfId="0" applyNumberFormat="1" applyFill="1" applyBorder="1" applyAlignment="1">
      <alignment horizontal="right" vertical="center"/>
    </xf>
    <xf numFmtId="0" fontId="0" fillId="13" borderId="16" xfId="0" applyFill="1" applyBorder="1" applyAlignment="1">
      <alignment horizontal="right" vertical="center"/>
    </xf>
    <xf numFmtId="0" fontId="0" fillId="14" borderId="16" xfId="0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9" fillId="4" borderId="17" xfId="0" applyFont="1" applyFill="1" applyBorder="1" applyAlignment="1">
      <alignment horizontal="left" vertical="center"/>
    </xf>
    <xf numFmtId="0" fontId="0" fillId="2" borderId="10" xfId="0" applyFill="1" applyBorder="1"/>
    <xf numFmtId="0" fontId="0" fillId="2" borderId="11" xfId="0" applyFill="1" applyBorder="1"/>
    <xf numFmtId="0" fontId="0" fillId="2" borderId="18" xfId="0" applyFill="1" applyBorder="1"/>
    <xf numFmtId="0" fontId="0" fillId="2" borderId="19" xfId="0" applyFill="1" applyBorder="1"/>
    <xf numFmtId="0" fontId="17" fillId="0" borderId="0" xfId="12"/>
    <xf numFmtId="0" fontId="17" fillId="0" borderId="0" xfId="12" applyBorder="1"/>
    <xf numFmtId="0" fontId="0" fillId="15" borderId="15" xfId="0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top" wrapText="1"/>
    </xf>
  </cellXfs>
  <cellStyles count="13">
    <cellStyle name="Komma" xfId="5" builtinId="3"/>
    <cellStyle name="Komma 2" xfId="11" xr:uid="{00000000-0005-0000-0000-000001000000}"/>
    <cellStyle name="Link" xfId="12" builtinId="8"/>
    <cellStyle name="Prozent" xfId="6" builtinId="5"/>
    <cellStyle name="Prozent 2" xfId="7" xr:uid="{00000000-0005-0000-0000-000004000000}"/>
    <cellStyle name="Standard" xfId="0" builtinId="0"/>
    <cellStyle name="Standard 2" xfId="2" xr:uid="{00000000-0005-0000-0000-000006000000}"/>
    <cellStyle name="Standard 2 2" xfId="4" xr:uid="{00000000-0005-0000-0000-000007000000}"/>
    <cellStyle name="Standard 2 3" xfId="8" xr:uid="{00000000-0005-0000-0000-000008000000}"/>
    <cellStyle name="Standard 3" xfId="1" xr:uid="{00000000-0005-0000-0000-000009000000}"/>
    <cellStyle name="Standard 3 2" xfId="9" xr:uid="{00000000-0005-0000-0000-00000A000000}"/>
    <cellStyle name="Standard 4" xfId="3" xr:uid="{00000000-0005-0000-0000-00000B000000}"/>
    <cellStyle name="Standard 5" xfId="10" xr:uid="{00000000-0005-0000-0000-00000C000000}"/>
  </cellStyles>
  <dxfs count="6">
    <dxf>
      <fill>
        <patternFill>
          <bgColor rgb="FFF8696B"/>
        </patternFill>
      </fill>
    </dxf>
    <dxf>
      <fill>
        <patternFill>
          <bgColor rgb="FFFB9275"/>
        </patternFill>
      </fill>
    </dxf>
    <dxf>
      <fill>
        <patternFill>
          <bgColor rgb="FFFEBB72"/>
        </patternFill>
      </fill>
    </dxf>
    <dxf>
      <fill>
        <patternFill>
          <bgColor rgb="FFC8D54D"/>
        </patternFill>
      </fill>
    </dxf>
    <dxf>
      <fill>
        <patternFill>
          <bgColor rgb="FF87C45E"/>
        </patternFill>
      </fill>
    </dxf>
    <dxf>
      <fill>
        <patternFill>
          <bgColor rgb="FF4BB366"/>
        </patternFill>
      </fill>
    </dxf>
  </dxfs>
  <tableStyles count="0" defaultTableStyle="TableStyleMedium9" defaultPivotStyle="PivotStyleLight16"/>
  <colors>
    <mruColors>
      <color rgb="FF4BB366"/>
      <color rgb="FF87C45E"/>
      <color rgb="FF63BE7B"/>
      <color rgb="FFC8D54D"/>
      <color rgb="FFFEBB72"/>
      <color rgb="FFFB9275"/>
      <color rgb="FFF869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22225</xdr:colOff>
      <xdr:row>4</xdr:row>
      <xdr:rowOff>156602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0</xdr:row>
      <xdr:rowOff>19050</xdr:rowOff>
    </xdr:from>
    <xdr:to>
      <xdr:col>7</xdr:col>
      <xdr:colOff>781664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48250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1" name="Option Button 1" hidden="1">
                <a:extLst>
                  <a:ext uri="{63B3BB69-23CF-44E3-9099-C40C66FF867C}">
                    <a14:compatExt spid="_x0000_s15361"/>
                  </a:ext>
                  <a:ext uri="{FF2B5EF4-FFF2-40B4-BE49-F238E27FC236}">
                    <a16:creationId xmlns:a16="http://schemas.microsoft.com/office/drawing/2014/main" id="{00000000-0008-0000-0000-0000013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2" name="Option Button 2" hidden="1">
                <a:extLst>
                  <a:ext uri="{63B3BB69-23CF-44E3-9099-C40C66FF867C}">
                    <a14:compatExt spid="_x0000_s15362"/>
                  </a:ext>
                  <a:ext uri="{FF2B5EF4-FFF2-40B4-BE49-F238E27FC236}">
                    <a16:creationId xmlns:a16="http://schemas.microsoft.com/office/drawing/2014/main" id="{00000000-0008-0000-0000-0000023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3" name="Option Button 3" hidden="1">
                <a:extLst>
                  <a:ext uri="{63B3BB69-23CF-44E3-9099-C40C66FF867C}">
                    <a14:compatExt spid="_x0000_s15363"/>
                  </a:ext>
                  <a:ext uri="{FF2B5EF4-FFF2-40B4-BE49-F238E27FC236}">
                    <a16:creationId xmlns:a16="http://schemas.microsoft.com/office/drawing/2014/main" id="{00000000-0008-0000-0000-0000033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s://www.gr.ch/DE/institutionen/verwaltung/dvs/awt/statistik/Grundlagen_und_Uebersichten/Seiten/Gliederungen.aspx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https://www.gr.ch/DE/institutionen/verwaltung/dvs/awt/statistik/Grundlagen_und_Uebersichten/Seiten/Gliederungen.aspx" TargetMode="External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3"/>
  <dimension ref="A1:N102"/>
  <sheetViews>
    <sheetView tabSelected="1"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4" width="13.42578125" style="4" customWidth="1"/>
    <col min="15" max="16384" width="11.42578125" style="4"/>
  </cols>
  <sheetData>
    <row r="1" spans="1:14" s="16" customFormat="1" x14ac:dyDescent="0.2"/>
    <row r="2" spans="1:14" s="16" customFormat="1" ht="15.75" x14ac:dyDescent="0.25">
      <c r="B2" s="17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s="16" customFormat="1" ht="15.75" x14ac:dyDescent="0.25">
      <c r="B3" s="17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s="16" customFormat="1" ht="15.75" x14ac:dyDescent="0.25">
      <c r="B4" s="17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4" s="16" customFormat="1" x14ac:dyDescent="0.2"/>
    <row r="6" spans="1:14" s="16" customFormat="1" x14ac:dyDescent="0.2"/>
    <row r="7" spans="1:14" ht="15.75" customHeight="1" x14ac:dyDescent="0.2">
      <c r="A7" s="68" t="str">
        <f>VLOOKUP("&lt;Fachbereich&gt;",Uebersetzungen!$B$4:$E$95,Uebersetzungen!$B$2+1,FALSE)</f>
        <v>Daten &amp; Statistik</v>
      </c>
      <c r="B7" s="68"/>
      <c r="C7" s="68"/>
      <c r="D7" s="68"/>
      <c r="E7" s="40"/>
      <c r="F7" s="40"/>
      <c r="G7" s="40"/>
      <c r="H7" s="40"/>
      <c r="I7" s="40"/>
      <c r="J7" s="40"/>
      <c r="K7" s="40"/>
      <c r="L7" s="40"/>
      <c r="M7" s="26"/>
      <c r="N7" s="1"/>
    </row>
    <row r="8" spans="1:14" ht="10.5" customHeight="1" x14ac:dyDescent="0.2"/>
    <row r="9" spans="1:14" ht="18" x14ac:dyDescent="0.25">
      <c r="A9" s="2" t="str">
        <f>VLOOKUP("&lt;Titel1&gt;",Uebersetzungen!$B$4:$E$95,Uebersetzungen!$B$2+1,FALSE)</f>
        <v>Hotel- und Kurbetriebe: Bruttozimmerauslastung* 2025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s="39" customFormat="1" x14ac:dyDescent="0.2">
      <c r="A10" s="36" t="str">
        <f>VLOOKUP("&lt;Titelprov&gt;",Uebersetzungen!$B$4:$E$95,Uebersetzungen!$B$2+1,FALSE)</f>
        <v>provisorische Ergebnisse</v>
      </c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ht="13.5" thickBot="1" x14ac:dyDescent="0.25"/>
    <row r="12" spans="1:14" ht="24" customHeight="1" thickBot="1" x14ac:dyDescent="0.25">
      <c r="A12" s="52" t="str">
        <f>VLOOKUP("&lt;Spaltentitel_1&gt;",Uebersetzungen!$B$4:$E$48,Uebersetzungen!$B$2+1,FALSE)</f>
        <v>Destination</v>
      </c>
      <c r="B12" s="53"/>
      <c r="C12" s="42" t="str">
        <f>VLOOKUP("&lt;Spaltentitel_2&gt;",Uebersetzungen!$B$4:$E$48,Uebersetzungen!$B$2+1,FALSE)</f>
        <v>Januar</v>
      </c>
      <c r="D12" s="5" t="str">
        <f>VLOOKUP("&lt;Spaltentitel_3&gt;",Uebersetzungen!$B$4:$E$48,Uebersetzungen!$B$2+1,FALSE)</f>
        <v>Februar</v>
      </c>
      <c r="E12" s="41" t="str">
        <f>VLOOKUP("&lt;Spaltentitel_4&gt;",Uebersetzungen!$B$4:$E$48,Uebersetzungen!$B$2+1,FALSE)</f>
        <v>März</v>
      </c>
      <c r="F12" s="41" t="str">
        <f>VLOOKUP("&lt;Spaltentitel_5&gt;",Uebersetzungen!$B$4:$E$48,Uebersetzungen!$B$2+1,FALSE)</f>
        <v>April</v>
      </c>
      <c r="G12" s="41" t="str">
        <f>VLOOKUP("&lt;Spaltentitel_6&gt;",Uebersetzungen!$B$4:$E$48,Uebersetzungen!$B$2+1,FALSE)</f>
        <v>Mai</v>
      </c>
      <c r="H12" s="41" t="str">
        <f>VLOOKUP("&lt;Spaltentitel_7&gt;",Uebersetzungen!$B$4:$E$48,Uebersetzungen!$B$2+1,FALSE)</f>
        <v>Juni</v>
      </c>
      <c r="I12" s="41" t="str">
        <f>VLOOKUP("&lt;Spaltentitel_8&gt;",Uebersetzungen!$B$4:$E$48,Uebersetzungen!$B$2+1,FALSE)</f>
        <v>Juli</v>
      </c>
      <c r="J12" s="41" t="str">
        <f>VLOOKUP("&lt;Spaltentitel_9&gt;",Uebersetzungen!$B$4:$E$48,Uebersetzungen!$B$2+1,FALSE)</f>
        <v>August</v>
      </c>
      <c r="K12" s="41" t="str">
        <f>VLOOKUP("&lt;Spaltentitel_10&gt;",Uebersetzungen!$B$4:$E$48,Uebersetzungen!$B$2+1,FALSE)</f>
        <v>September</v>
      </c>
      <c r="L12" s="41" t="str">
        <f>VLOOKUP("&lt;Spaltentitel_11&gt;",Uebersetzungen!$B$4:$E$48,Uebersetzungen!$B$2+1,FALSE)</f>
        <v>Oktober</v>
      </c>
      <c r="M12" s="6" t="str">
        <f>VLOOKUP("&lt;Spaltentitel_12&gt;",Uebersetzungen!$B$4:$E$48,Uebersetzungen!$B$2+1,FALSE)</f>
        <v>November</v>
      </c>
      <c r="N12" s="7" t="str">
        <f>VLOOKUP("&lt;Spaltentitel_13&gt;",Uebersetzungen!$B$4:$E$48,Uebersetzungen!$B$2+1,FALSE)</f>
        <v>Dezember</v>
      </c>
    </row>
    <row r="13" spans="1:14" ht="24" customHeight="1" x14ac:dyDescent="0.2">
      <c r="A13" s="60" t="str">
        <f>VLOOKUP("&lt;Zeilentitel_25&gt;",Uebersetzungen!$B$4:$E$48,Uebersetzungen!$B$2+1,FALSE)</f>
        <v>Arosa</v>
      </c>
      <c r="B13" s="61"/>
      <c r="C13" s="45">
        <v>0.69172708486567891</v>
      </c>
      <c r="D13" s="45">
        <v>0.72456709956709953</v>
      </c>
      <c r="E13" s="45">
        <v>0.59598868873062416</v>
      </c>
      <c r="F13" s="45">
        <v>9.2171717171717168E-2</v>
      </c>
      <c r="G13" s="45">
        <v>1.0026662661008675E-2</v>
      </c>
      <c r="H13" s="45">
        <v>0.14640203008881639</v>
      </c>
      <c r="I13" s="45">
        <v>0.38986826641407496</v>
      </c>
      <c r="J13" s="45">
        <v>0.37383571015102879</v>
      </c>
      <c r="K13" s="45">
        <v>0.22256661228928765</v>
      </c>
      <c r="L13" s="45">
        <v>0.11983077736647277</v>
      </c>
      <c r="M13" s="45"/>
      <c r="N13" s="46"/>
    </row>
    <row r="14" spans="1:14" ht="24" customHeight="1" x14ac:dyDescent="0.2">
      <c r="A14" s="8" t="str">
        <f>VLOOKUP("&lt;Zeilentitel_26&gt;",Uebersetzungen!$B$4:$E$48,Uebersetzungen!$B$2+1,FALSE)</f>
        <v>Bergün Filisur</v>
      </c>
      <c r="B14" s="62"/>
      <c r="C14" s="47">
        <v>0.64575318141461968</v>
      </c>
      <c r="D14" s="47">
        <v>0.70515659601391967</v>
      </c>
      <c r="E14" s="47">
        <v>0.42497780408404856</v>
      </c>
      <c r="F14" s="47">
        <v>3.1039755351681957E-2</v>
      </c>
      <c r="G14" s="47">
        <v>0.29624149156555196</v>
      </c>
      <c r="H14" s="47">
        <v>0.52568807339449541</v>
      </c>
      <c r="I14" s="47">
        <v>0.66839301568511389</v>
      </c>
      <c r="J14" s="47">
        <v>0.71781592187037591</v>
      </c>
      <c r="K14" s="47">
        <v>0.53547400611620799</v>
      </c>
      <c r="L14" s="47">
        <v>0.41905889316365791</v>
      </c>
      <c r="M14" s="47"/>
      <c r="N14" s="48"/>
    </row>
    <row r="15" spans="1:14" ht="24" customHeight="1" x14ac:dyDescent="0.2">
      <c r="A15" s="8" t="str">
        <f>VLOOKUP("&lt;Zeilentitel_27&gt;",Uebersetzungen!$B$4:$E$48,Uebersetzungen!$B$2+1,FALSE)</f>
        <v>Bregaglia Engadin</v>
      </c>
      <c r="B15" s="62"/>
      <c r="C15" s="47">
        <v>0.20021247826926791</v>
      </c>
      <c r="D15" s="47">
        <v>0.25975634937022507</v>
      </c>
      <c r="E15" s="47">
        <v>0.24300427516517684</v>
      </c>
      <c r="F15" s="47">
        <v>5.6927710843373495E-2</v>
      </c>
      <c r="G15" s="47">
        <v>8.2879906723668864E-2</v>
      </c>
      <c r="H15" s="47">
        <v>0.29487951807228918</v>
      </c>
      <c r="I15" s="47">
        <v>0.46414691022153126</v>
      </c>
      <c r="J15" s="47">
        <v>0.53818499805674314</v>
      </c>
      <c r="K15" s="47">
        <v>0.33293172690763051</v>
      </c>
      <c r="L15" s="47">
        <v>0.28254955305091334</v>
      </c>
      <c r="M15" s="47"/>
      <c r="N15" s="48"/>
    </row>
    <row r="16" spans="1:14" ht="24" customHeight="1" x14ac:dyDescent="0.2">
      <c r="A16" s="8" t="str">
        <f>VLOOKUP("&lt;Zeilentitel_28&gt;",Uebersetzungen!$B$4:$E$48,Uebersetzungen!$B$2+1,FALSE)</f>
        <v>Bündner Herrschaft</v>
      </c>
      <c r="B16" s="62"/>
      <c r="C16" s="47">
        <v>0.41321044546850999</v>
      </c>
      <c r="D16" s="47">
        <v>0.49507389162561577</v>
      </c>
      <c r="E16" s="47">
        <v>0.42319508448540705</v>
      </c>
      <c r="F16" s="47">
        <v>0.38920634920634922</v>
      </c>
      <c r="G16" s="47">
        <v>0.58018433179723505</v>
      </c>
      <c r="H16" s="47">
        <v>0.6515873015873016</v>
      </c>
      <c r="I16" s="47">
        <v>0.58125960061443938</v>
      </c>
      <c r="J16" s="47">
        <v>0.67403993855606759</v>
      </c>
      <c r="K16" s="47">
        <v>0.67079365079365083</v>
      </c>
      <c r="L16" s="47">
        <v>0.52181259600614438</v>
      </c>
      <c r="M16" s="47"/>
      <c r="N16" s="48"/>
    </row>
    <row r="17" spans="1:14" ht="24" customHeight="1" x14ac:dyDescent="0.2">
      <c r="A17" s="8" t="str">
        <f>VLOOKUP("&lt;Zeilentitel_29&gt;",Uebersetzungen!$B$4:$E$48,Uebersetzungen!$B$2+1,FALSE)</f>
        <v>Chur</v>
      </c>
      <c r="B17" s="62"/>
      <c r="C17" s="47">
        <v>0.60226440876482357</v>
      </c>
      <c r="D17" s="47">
        <v>0.71443476446345666</v>
      </c>
      <c r="E17" s="47">
        <v>0.60977990337221222</v>
      </c>
      <c r="F17" s="47">
        <v>0.60418557740796774</v>
      </c>
      <c r="G17" s="47">
        <v>0.71319115709335801</v>
      </c>
      <c r="H17" s="47">
        <v>0.77796268280383263</v>
      </c>
      <c r="I17" s="47">
        <v>0.74915816700014637</v>
      </c>
      <c r="J17" s="47">
        <v>0.7833683080376751</v>
      </c>
      <c r="K17" s="47">
        <v>0.82148260211800306</v>
      </c>
      <c r="L17" s="47">
        <v>0.69796496022644083</v>
      </c>
      <c r="M17" s="47"/>
      <c r="N17" s="48"/>
    </row>
    <row r="18" spans="1:14" ht="24" customHeight="1" x14ac:dyDescent="0.2">
      <c r="A18" s="8" t="str">
        <f>VLOOKUP("&lt;Zeilentitel_30&gt;",Uebersetzungen!$B$4:$E$48,Uebersetzungen!$B$2+1,FALSE)</f>
        <v>Davos Klosters</v>
      </c>
      <c r="B18" s="62"/>
      <c r="C18" s="47">
        <v>0.59590828272565632</v>
      </c>
      <c r="D18" s="47">
        <v>0.63031982696941535</v>
      </c>
      <c r="E18" s="47">
        <v>0.50150610657757821</v>
      </c>
      <c r="F18" s="47">
        <v>0.14925034443634005</v>
      </c>
      <c r="G18" s="47">
        <v>0.12806757488059103</v>
      </c>
      <c r="H18" s="47">
        <v>0.34448321701561979</v>
      </c>
      <c r="I18" s="47">
        <v>0.44894571203776557</v>
      </c>
      <c r="J18" s="47">
        <v>0.51470647666928004</v>
      </c>
      <c r="K18" s="47">
        <v>0.40152843898772239</v>
      </c>
      <c r="L18" s="47">
        <v>0.2536491480603919</v>
      </c>
      <c r="M18" s="47"/>
      <c r="N18" s="48"/>
    </row>
    <row r="19" spans="1:14" ht="24" customHeight="1" x14ac:dyDescent="0.2">
      <c r="A19" s="8" t="str">
        <f>VLOOKUP("&lt;Zeilentitel_31&gt;",Uebersetzungen!$B$4:$E$48,Uebersetzungen!$B$2+1,FALSE)</f>
        <v>Disentis Sedrun</v>
      </c>
      <c r="B19" s="62"/>
      <c r="C19" s="47">
        <v>0.42996524178303552</v>
      </c>
      <c r="D19" s="47">
        <v>0.75568737370445216</v>
      </c>
      <c r="E19" s="47">
        <v>0.40374413073967924</v>
      </c>
      <c r="F19" s="47">
        <v>9.8865784499054823E-2</v>
      </c>
      <c r="G19" s="47">
        <v>0.11195804622233063</v>
      </c>
      <c r="H19" s="47">
        <v>0.30352867044738502</v>
      </c>
      <c r="I19" s="47">
        <v>0.78956033904506373</v>
      </c>
      <c r="J19" s="47">
        <v>0.51966583328251725</v>
      </c>
      <c r="K19" s="47">
        <v>0.3784499054820416</v>
      </c>
      <c r="L19" s="47">
        <v>0.24050786707976429</v>
      </c>
      <c r="M19" s="47"/>
      <c r="N19" s="48"/>
    </row>
    <row r="20" spans="1:14" ht="24" customHeight="1" x14ac:dyDescent="0.2">
      <c r="A20" s="8" t="str">
        <f>VLOOKUP("&lt;Zeilentitel_32&gt;",Uebersetzungen!$B$4:$E$48,Uebersetzungen!$B$2+1,FALSE)</f>
        <v>Scuol Samnaun Val Müstair</v>
      </c>
      <c r="B20" s="62"/>
      <c r="C20" s="47">
        <v>0.53461697234180572</v>
      </c>
      <c r="D20" s="47">
        <v>0.61589246698964573</v>
      </c>
      <c r="E20" s="47">
        <v>0.48058542413381122</v>
      </c>
      <c r="F20" s="47">
        <v>0.20477731545692709</v>
      </c>
      <c r="G20" s="47">
        <v>0.11842870565075388</v>
      </c>
      <c r="H20" s="47">
        <v>0.36995262112180954</v>
      </c>
      <c r="I20" s="47">
        <v>0.50310260378322336</v>
      </c>
      <c r="J20" s="47">
        <v>0.56389260333248192</v>
      </c>
      <c r="K20" s="47">
        <v>0.43001241464928613</v>
      </c>
      <c r="L20" s="47">
        <v>0.39560472597180052</v>
      </c>
      <c r="M20" s="47"/>
      <c r="N20" s="48"/>
    </row>
    <row r="21" spans="1:14" ht="24" customHeight="1" x14ac:dyDescent="0.2">
      <c r="A21" s="8" t="str">
        <f>VLOOKUP("&lt;Zeilentitel_33&gt;",Uebersetzungen!$B$4:$E$48,Uebersetzungen!$B$2+1,FALSE)</f>
        <v>Engadin St. Moritz</v>
      </c>
      <c r="B21" s="62"/>
      <c r="C21" s="47">
        <v>0.70153241903290198</v>
      </c>
      <c r="D21" s="47">
        <v>0.73958676111467114</v>
      </c>
      <c r="E21" s="47">
        <v>0.6405267592852667</v>
      </c>
      <c r="F21" s="47">
        <v>0.15987385577137753</v>
      </c>
      <c r="G21" s="47">
        <v>0.13109024911954714</v>
      </c>
      <c r="H21" s="47">
        <v>0.38583347238444854</v>
      </c>
      <c r="I21" s="47">
        <v>0.57472768292223286</v>
      </c>
      <c r="J21" s="47">
        <v>0.63490739195728352</v>
      </c>
      <c r="K21" s="47">
        <v>0.45768096589328439</v>
      </c>
      <c r="L21" s="47">
        <v>0.35280520315984015</v>
      </c>
      <c r="M21" s="47"/>
      <c r="N21" s="48"/>
    </row>
    <row r="22" spans="1:14" ht="24" customHeight="1" x14ac:dyDescent="0.2">
      <c r="A22" s="8" t="str">
        <f>VLOOKUP("&lt;Zeilentitel_34&gt;",Uebersetzungen!$B$4:$E$48,Uebersetzungen!$B$2+1,FALSE)</f>
        <v>Flims Laax</v>
      </c>
      <c r="B22" s="62"/>
      <c r="C22" s="47">
        <v>0.64958886780518654</v>
      </c>
      <c r="D22" s="47">
        <v>0.70671116054875793</v>
      </c>
      <c r="E22" s="47">
        <v>0.63494111623143878</v>
      </c>
      <c r="F22" s="47">
        <v>0.2302416721097322</v>
      </c>
      <c r="G22" s="47">
        <v>0.2056214576178336</v>
      </c>
      <c r="H22" s="47">
        <v>0.32780317875027215</v>
      </c>
      <c r="I22" s="47">
        <v>0.49830387054634329</v>
      </c>
      <c r="J22" s="47">
        <v>0.52866564126335303</v>
      </c>
      <c r="K22" s="47">
        <v>0.38124456048738031</v>
      </c>
      <c r="L22" s="47">
        <v>0.24938937084140486</v>
      </c>
      <c r="M22" s="47"/>
      <c r="N22" s="48"/>
    </row>
    <row r="23" spans="1:14" ht="24" customHeight="1" x14ac:dyDescent="0.2">
      <c r="A23" s="8" t="str">
        <f>VLOOKUP("&lt;Zeilentitel_35&gt;",Uebersetzungen!$B$4:$E$48,Uebersetzungen!$B$2+1,FALSE)</f>
        <v>Lenzerheide</v>
      </c>
      <c r="B23" s="62"/>
      <c r="C23" s="47">
        <v>0.73381356905062567</v>
      </c>
      <c r="D23" s="47">
        <v>0.75806847465946747</v>
      </c>
      <c r="E23" s="47">
        <v>0.56329828313431951</v>
      </c>
      <c r="F23" s="47">
        <v>9.1554357592093447E-2</v>
      </c>
      <c r="G23" s="47">
        <v>0.14537866272498043</v>
      </c>
      <c r="H23" s="47">
        <v>0.39823141486810554</v>
      </c>
      <c r="I23" s="47">
        <v>0.46260733348804828</v>
      </c>
      <c r="J23" s="47">
        <v>0.50768739846832212</v>
      </c>
      <c r="K23" s="47">
        <v>0.4601318944844125</v>
      </c>
      <c r="L23" s="47">
        <v>0.32365398004177304</v>
      </c>
      <c r="M23" s="47"/>
      <c r="N23" s="48"/>
    </row>
    <row r="24" spans="1:14" ht="24" customHeight="1" x14ac:dyDescent="0.2">
      <c r="A24" s="8" t="str">
        <f>VLOOKUP("&lt;Zeilentitel_36&gt;",Uebersetzungen!$B$4:$E$48,Uebersetzungen!$B$2+1,FALSE)</f>
        <v>Prättigau</v>
      </c>
      <c r="B24" s="62"/>
      <c r="C24" s="47">
        <v>0.48396366332962554</v>
      </c>
      <c r="D24" s="47">
        <v>0.6742964724534285</v>
      </c>
      <c r="E24" s="47">
        <v>0.52938450129773817</v>
      </c>
      <c r="F24" s="47">
        <v>0.33132183908045976</v>
      </c>
      <c r="G24" s="47">
        <v>0.38283277715980718</v>
      </c>
      <c r="H24" s="47">
        <v>0.45229885057471264</v>
      </c>
      <c r="I24" s="47">
        <v>0.4996292176492399</v>
      </c>
      <c r="J24" s="47">
        <v>0.48980348535409712</v>
      </c>
      <c r="K24" s="47">
        <v>0.47921455938697316</v>
      </c>
      <c r="L24" s="47">
        <v>0.42232109751575825</v>
      </c>
      <c r="M24" s="47"/>
      <c r="N24" s="48"/>
    </row>
    <row r="25" spans="1:14" ht="24" customHeight="1" x14ac:dyDescent="0.2">
      <c r="A25" s="8" t="str">
        <f>VLOOKUP("&lt;Zeilentitel_37&gt;",Uebersetzungen!$B$4:$E$48,Uebersetzungen!$B$2+1,FALSE)</f>
        <v>San Bernardino, Mesolcina/Calanca</v>
      </c>
      <c r="B25" s="62"/>
      <c r="C25" s="47">
        <v>0.25707846175517679</v>
      </c>
      <c r="D25" s="47">
        <v>0.31109772624604726</v>
      </c>
      <c r="E25" s="47">
        <v>0.25105823967304042</v>
      </c>
      <c r="F25" s="47">
        <v>0.12820512820512819</v>
      </c>
      <c r="G25" s="47">
        <v>0.14548067709996806</v>
      </c>
      <c r="H25" s="47">
        <v>0.23661740558292282</v>
      </c>
      <c r="I25" s="47">
        <v>0.35851165761737463</v>
      </c>
      <c r="J25" s="47">
        <v>0.39027490862863501</v>
      </c>
      <c r="K25" s="47">
        <v>0.22068965517241379</v>
      </c>
      <c r="L25" s="47">
        <v>0.14396948990942318</v>
      </c>
      <c r="M25" s="47"/>
      <c r="N25" s="48"/>
    </row>
    <row r="26" spans="1:14" ht="24" customHeight="1" x14ac:dyDescent="0.2">
      <c r="A26" s="8" t="str">
        <f>VLOOKUP("&lt;Zeilentitel_38&gt;",Uebersetzungen!$B$4:$E$48,Uebersetzungen!$B$2+1,FALSE)</f>
        <v>Val Surses</v>
      </c>
      <c r="B26" s="62"/>
      <c r="C26" s="47">
        <v>0.39429280397022332</v>
      </c>
      <c r="D26" s="47">
        <v>0.47507389162561575</v>
      </c>
      <c r="E26" s="47">
        <v>0.41583240637745644</v>
      </c>
      <c r="F26" s="47">
        <v>9.8481973434535103E-2</v>
      </c>
      <c r="G26" s="47">
        <v>0.14892575136193917</v>
      </c>
      <c r="H26" s="47">
        <v>0.30562934851359896</v>
      </c>
      <c r="I26" s="47">
        <v>0.42860667365694194</v>
      </c>
      <c r="J26" s="47">
        <v>0.42149721491093833</v>
      </c>
      <c r="K26" s="47">
        <v>0.31189120809614168</v>
      </c>
      <c r="L26" s="47">
        <v>0.14941543735079879</v>
      </c>
      <c r="M26" s="47"/>
      <c r="N26" s="48"/>
    </row>
    <row r="27" spans="1:14" ht="24" customHeight="1" x14ac:dyDescent="0.2">
      <c r="A27" s="8" t="str">
        <f>VLOOKUP("&lt;Zeilentitel_39&gt;",Uebersetzungen!$B$4:$E$48,Uebersetzungen!$B$2+1,FALSE)</f>
        <v>Surselva</v>
      </c>
      <c r="B27" s="62"/>
      <c r="C27" s="47">
        <v>0.4317575083426029</v>
      </c>
      <c r="D27" s="47">
        <v>0.52740784780023786</v>
      </c>
      <c r="E27" s="47">
        <v>0.28619265543029354</v>
      </c>
      <c r="F27" s="47">
        <v>0.12243367935409458</v>
      </c>
      <c r="G27" s="47">
        <v>0.16792021839656807</v>
      </c>
      <c r="H27" s="47">
        <v>0.30161476355247979</v>
      </c>
      <c r="I27" s="47">
        <v>0.41957807791048107</v>
      </c>
      <c r="J27" s="47">
        <v>0.42053091397849462</v>
      </c>
      <c r="K27" s="47">
        <v>0.32881944444444444</v>
      </c>
      <c r="L27" s="47">
        <v>0.2481518817204301</v>
      </c>
      <c r="M27" s="47"/>
      <c r="N27" s="48"/>
    </row>
    <row r="28" spans="1:14" ht="24" customHeight="1" x14ac:dyDescent="0.2">
      <c r="A28" s="8" t="str">
        <f>VLOOKUP("&lt;Zeilentitel_40&gt;",Uebersetzungen!$B$4:$E$48,Uebersetzungen!$B$2+1,FALSE)</f>
        <v>Valposchiavo</v>
      </c>
      <c r="B28" s="62"/>
      <c r="C28" s="47">
        <v>0.20595533498759305</v>
      </c>
      <c r="D28" s="47">
        <v>0.23984901040603959</v>
      </c>
      <c r="E28" s="47">
        <v>0.16940255774002672</v>
      </c>
      <c r="F28" s="47">
        <v>0.207183908045977</v>
      </c>
      <c r="G28" s="47">
        <v>0.3615127919911012</v>
      </c>
      <c r="H28" s="47">
        <v>0.5268571428571428</v>
      </c>
      <c r="I28" s="47">
        <v>0.65253456221198158</v>
      </c>
      <c r="J28" s="47">
        <v>0.62775517926402424</v>
      </c>
      <c r="K28" s="47">
        <v>0.48963831867057672</v>
      </c>
      <c r="L28" s="47">
        <v>0.4689244158546968</v>
      </c>
      <c r="M28" s="47"/>
      <c r="N28" s="48"/>
    </row>
    <row r="29" spans="1:14" ht="24" customHeight="1" x14ac:dyDescent="0.2">
      <c r="A29" s="8" t="str">
        <f>VLOOKUP("&lt;Zeilentitel_41&gt;",Uebersetzungen!$B$4:$E$48,Uebersetzungen!$B$2+1,FALSE)</f>
        <v>Vals</v>
      </c>
      <c r="B29" s="62"/>
      <c r="C29" s="47">
        <v>0.55760368663594473</v>
      </c>
      <c r="D29" s="47">
        <v>0.6737508796622097</v>
      </c>
      <c r="E29" s="47">
        <v>0.4840026333113891</v>
      </c>
      <c r="F29" s="47">
        <v>0.21401360544217687</v>
      </c>
      <c r="G29" s="47">
        <v>0.21816984858459512</v>
      </c>
      <c r="H29" s="47">
        <v>0.28857142857142859</v>
      </c>
      <c r="I29" s="47">
        <v>0.45200789993416723</v>
      </c>
      <c r="J29" s="47">
        <v>0.47491770901909153</v>
      </c>
      <c r="K29" s="47">
        <v>0.35346938775510206</v>
      </c>
      <c r="L29" s="47">
        <v>0.38011849901250822</v>
      </c>
      <c r="M29" s="47"/>
      <c r="N29" s="48"/>
    </row>
    <row r="30" spans="1:14" ht="24" customHeight="1" x14ac:dyDescent="0.2">
      <c r="A30" s="8" t="str">
        <f>VLOOKUP("&lt;Zeilentitel_42&gt;",Uebersetzungen!$B$4:$E$48,Uebersetzungen!$B$2+1,FALSE)</f>
        <v>Viamala</v>
      </c>
      <c r="B30" s="63"/>
      <c r="C30" s="47">
        <v>0.30198126028181105</v>
      </c>
      <c r="D30" s="47">
        <v>0.44288318395868143</v>
      </c>
      <c r="E30" s="47">
        <v>0.31373797396717601</v>
      </c>
      <c r="F30" s="47">
        <v>0.15504385964912282</v>
      </c>
      <c r="G30" s="47">
        <v>0.21993491794001133</v>
      </c>
      <c r="H30" s="47">
        <v>0.36125730994152044</v>
      </c>
      <c r="I30" s="47">
        <v>0.49059139784946237</v>
      </c>
      <c r="J30" s="47">
        <v>0.46612903225806451</v>
      </c>
      <c r="K30" s="47">
        <v>0.38866666666666666</v>
      </c>
      <c r="L30" s="47">
        <v>0.27548387096774196</v>
      </c>
      <c r="M30" s="47"/>
      <c r="N30" s="48"/>
    </row>
    <row r="31" spans="1:14" ht="24" customHeight="1" thickBot="1" x14ac:dyDescent="0.25">
      <c r="A31" s="9" t="str">
        <f>VLOOKUP("&lt;Zeilentitel_43&gt;",Uebersetzungen!$B$4:$E$48,Uebersetzungen!$B$2+1,FALSE)</f>
        <v>Graubünden</v>
      </c>
      <c r="B31" s="64"/>
      <c r="C31" s="49">
        <v>0.59978256681664976</v>
      </c>
      <c r="D31" s="49">
        <v>0.66001195896858689</v>
      </c>
      <c r="E31" s="49">
        <v>0.53515529708680554</v>
      </c>
      <c r="F31" s="49">
        <v>0.1707794330546864</v>
      </c>
      <c r="G31" s="49">
        <v>0.16092473623931494</v>
      </c>
      <c r="H31" s="49">
        <v>0.36107698319656117</v>
      </c>
      <c r="I31" s="49">
        <v>0.51323558711126405</v>
      </c>
      <c r="J31" s="49">
        <v>0.54819630129332075</v>
      </c>
      <c r="K31" s="49">
        <v>0.41767513182806804</v>
      </c>
      <c r="L31" s="49">
        <v>0.31020983401190105</v>
      </c>
      <c r="M31" s="49"/>
      <c r="N31" s="50"/>
    </row>
    <row r="32" spans="1:14" ht="24" customHeight="1" thickBot="1" x14ac:dyDescent="0.25">
      <c r="A32" s="43"/>
      <c r="B32" s="44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4"/>
      <c r="N32" s="14"/>
    </row>
    <row r="33" spans="1:14" ht="24" customHeight="1" thickBot="1" x14ac:dyDescent="0.25">
      <c r="A33" s="43"/>
      <c r="B33" s="59" t="str">
        <f>VLOOKUP("&lt;Zeilentitel_44&gt;",Uebersetzungen!$B$4:$E$48,Uebersetzungen!$B$2+1,FALSE)</f>
        <v>Farbskala:</v>
      </c>
      <c r="C33" s="54" t="s">
        <v>144</v>
      </c>
      <c r="D33" s="55" t="s">
        <v>139</v>
      </c>
      <c r="E33" s="56" t="s">
        <v>140</v>
      </c>
      <c r="F33" s="57" t="s">
        <v>142</v>
      </c>
      <c r="G33" s="58" t="s">
        <v>141</v>
      </c>
      <c r="H33" s="67" t="s">
        <v>143</v>
      </c>
      <c r="I33" s="13"/>
      <c r="J33" s="13"/>
      <c r="K33" s="13"/>
      <c r="L33" s="13"/>
      <c r="M33" s="14"/>
      <c r="N33" s="14"/>
    </row>
    <row r="34" spans="1:14" ht="24" customHeight="1" x14ac:dyDescent="0.2">
      <c r="A34" s="43"/>
      <c r="B34" s="44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4"/>
      <c r="N34" s="14"/>
    </row>
    <row r="35" spans="1:14" x14ac:dyDescent="0.2">
      <c r="A35" s="51" t="str">
        <f>VLOOKUP("&lt;Legende_1&gt;",Uebersetzungen!$B$4:$E$56,Uebersetzungen!$B$2+1,FALSE)</f>
        <v>Aktuelle Zuordnung der politischen Gemeinden zu Destinationen:</v>
      </c>
      <c r="B35" s="12"/>
      <c r="C35" s="10"/>
      <c r="D35" s="13"/>
      <c r="E35" s="66" t="s">
        <v>133</v>
      </c>
      <c r="F35" s="13"/>
      <c r="G35" s="13"/>
      <c r="H35" s="13"/>
      <c r="I35" s="13"/>
      <c r="J35" s="13"/>
      <c r="K35" s="13"/>
      <c r="L35" s="13"/>
      <c r="M35" s="14"/>
      <c r="N35" s="15"/>
    </row>
    <row r="36" spans="1:14" x14ac:dyDescent="0.2">
      <c r="A36" s="51" t="str">
        <f>VLOOKUP("&lt;Legende_3&gt;",Uebersetzungen!$B$4:$E$56,Uebersetzungen!$B$2+1,FALSE)</f>
        <v>* Berechnungsgrundlage: Bruttozimmerauslastung = Zimmernächte / (Zimmer * Anzahl Kalendertage)</v>
      </c>
      <c r="B36" s="12"/>
      <c r="C36" s="10"/>
      <c r="D36" s="13"/>
      <c r="E36" s="13"/>
      <c r="F36" s="13"/>
      <c r="G36" s="13"/>
      <c r="H36" s="13"/>
      <c r="I36" s="13"/>
      <c r="J36" s="13"/>
      <c r="K36" s="13"/>
      <c r="L36" s="13"/>
      <c r="M36" s="14"/>
      <c r="N36" s="15"/>
    </row>
    <row r="37" spans="1:14" x14ac:dyDescent="0.2">
      <c r="A37" s="51"/>
      <c r="B37" s="12"/>
      <c r="C37" s="10"/>
      <c r="D37" s="13"/>
      <c r="E37" s="65"/>
      <c r="F37" s="13"/>
      <c r="G37" s="13"/>
      <c r="H37" s="13"/>
      <c r="I37" s="13"/>
      <c r="J37" s="13"/>
      <c r="K37" s="13"/>
      <c r="L37" s="13"/>
      <c r="M37" s="14"/>
      <c r="N37" s="15"/>
    </row>
    <row r="38" spans="1:14" x14ac:dyDescent="0.2">
      <c r="A38" s="43"/>
      <c r="B38" s="4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4"/>
      <c r="N38" s="14"/>
    </row>
    <row r="39" spans="1:14" ht="18" x14ac:dyDescent="0.25">
      <c r="A39" s="2" t="str">
        <f>VLOOKUP("&lt;Titel2&gt;",Uebersetzungen!$B$4:$E$95,Uebersetzungen!$B$2+1,FALSE)</f>
        <v>Hotel- und Kurbetriebe: Bruttozimmerauslastung* 2024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s="39" customFormat="1" x14ac:dyDescent="0.2">
      <c r="A40" s="36" t="str">
        <f>VLOOKUP("&lt;Titeldef&gt;",Uebersetzungen!$B$4:$E$95,Uebersetzungen!$B$2+1,FALSE)</f>
        <v>definitive Ergebnisse</v>
      </c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</row>
    <row r="41" spans="1:14" ht="13.5" thickBot="1" x14ac:dyDescent="0.25"/>
    <row r="42" spans="1:14" ht="24" customHeight="1" thickBot="1" x14ac:dyDescent="0.25">
      <c r="A42" s="52" t="str">
        <f>VLOOKUP("&lt;Spaltentitel_1&gt;",Uebersetzungen!$B$4:$E$48,Uebersetzungen!$B$2+1,FALSE)</f>
        <v>Destination</v>
      </c>
      <c r="B42" s="53"/>
      <c r="C42" s="42" t="str">
        <f>VLOOKUP("&lt;Spaltentitel_2&gt;",Uebersetzungen!$B$4:$E$48,Uebersetzungen!$B$2+1,FALSE)</f>
        <v>Januar</v>
      </c>
      <c r="D42" s="5" t="str">
        <f>VLOOKUP("&lt;Spaltentitel_3&gt;",Uebersetzungen!$B$4:$E$48,Uebersetzungen!$B$2+1,FALSE)</f>
        <v>Februar</v>
      </c>
      <c r="E42" s="41" t="str">
        <f>VLOOKUP("&lt;Spaltentitel_4&gt;",Uebersetzungen!$B$4:$E$48,Uebersetzungen!$B$2+1,FALSE)</f>
        <v>März</v>
      </c>
      <c r="F42" s="41" t="str">
        <f>VLOOKUP("&lt;Spaltentitel_5&gt;",Uebersetzungen!$B$4:$E$48,Uebersetzungen!$B$2+1,FALSE)</f>
        <v>April</v>
      </c>
      <c r="G42" s="41" t="str">
        <f>VLOOKUP("&lt;Spaltentitel_6&gt;",Uebersetzungen!$B$4:$E$48,Uebersetzungen!$B$2+1,FALSE)</f>
        <v>Mai</v>
      </c>
      <c r="H42" s="41" t="str">
        <f>VLOOKUP("&lt;Spaltentitel_7&gt;",Uebersetzungen!$B$4:$E$48,Uebersetzungen!$B$2+1,FALSE)</f>
        <v>Juni</v>
      </c>
      <c r="I42" s="41" t="str">
        <f>VLOOKUP("&lt;Spaltentitel_8&gt;",Uebersetzungen!$B$4:$E$48,Uebersetzungen!$B$2+1,FALSE)</f>
        <v>Juli</v>
      </c>
      <c r="J42" s="41" t="str">
        <f>VLOOKUP("&lt;Spaltentitel_9&gt;",Uebersetzungen!$B$4:$E$48,Uebersetzungen!$B$2+1,FALSE)</f>
        <v>August</v>
      </c>
      <c r="K42" s="41" t="str">
        <f>VLOOKUP("&lt;Spaltentitel_10&gt;",Uebersetzungen!$B$4:$E$48,Uebersetzungen!$B$2+1,FALSE)</f>
        <v>September</v>
      </c>
      <c r="L42" s="41" t="str">
        <f>VLOOKUP("&lt;Spaltentitel_11&gt;",Uebersetzungen!$B$4:$E$48,Uebersetzungen!$B$2+1,FALSE)</f>
        <v>Oktober</v>
      </c>
      <c r="M42" s="6" t="str">
        <f>VLOOKUP("&lt;Spaltentitel_12&gt;",Uebersetzungen!$B$4:$E$48,Uebersetzungen!$B$2+1,FALSE)</f>
        <v>November</v>
      </c>
      <c r="N42" s="7" t="str">
        <f>VLOOKUP("&lt;Spaltentitel_13&gt;",Uebersetzungen!$B$4:$E$48,Uebersetzungen!$B$2+1,FALSE)</f>
        <v>Dezember</v>
      </c>
    </row>
    <row r="43" spans="1:14" ht="24" customHeight="1" x14ac:dyDescent="0.2">
      <c r="A43" s="60" t="str">
        <f>VLOOKUP("&lt;Zeilentitel_25&gt;",Uebersetzungen!$B$4:$E$48,Uebersetzungen!$B$2+1,FALSE)</f>
        <v>Arosa</v>
      </c>
      <c r="B43" s="61"/>
      <c r="C43" s="45">
        <v>0.69842669930875578</v>
      </c>
      <c r="D43" s="45">
        <v>0.77262931034482762</v>
      </c>
      <c r="E43" s="45">
        <v>0.63196644585253459</v>
      </c>
      <c r="F43" s="45">
        <v>0.122265625</v>
      </c>
      <c r="G43" s="45">
        <v>1.0486532524220164E-2</v>
      </c>
      <c r="H43" s="45">
        <v>0.11778511184451779</v>
      </c>
      <c r="I43" s="45">
        <v>0.40773270875474643</v>
      </c>
      <c r="J43" s="45">
        <v>0.40515987082579225</v>
      </c>
      <c r="K43" s="45">
        <v>0.20731218088986142</v>
      </c>
      <c r="L43" s="45">
        <v>0.10782099244723653</v>
      </c>
      <c r="M43" s="45">
        <v>6.4692028985507244E-2</v>
      </c>
      <c r="N43" s="46">
        <v>0.52233520336605888</v>
      </c>
    </row>
    <row r="44" spans="1:14" ht="24" customHeight="1" x14ac:dyDescent="0.2">
      <c r="A44" s="8" t="str">
        <f>VLOOKUP("&lt;Zeilentitel_26&gt;",Uebersetzungen!$B$4:$E$48,Uebersetzungen!$B$2+1,FALSE)</f>
        <v>Bergün Filisur</v>
      </c>
      <c r="B44" s="62"/>
      <c r="C44" s="47">
        <v>0.6070909619296716</v>
      </c>
      <c r="D44" s="47">
        <v>0.70285803044423734</v>
      </c>
      <c r="E44" s="47">
        <v>0.38840453356582388</v>
      </c>
      <c r="F44" s="47">
        <v>3.7987987987987991E-2</v>
      </c>
      <c r="G44" s="47">
        <v>0.25413391162916782</v>
      </c>
      <c r="H44" s="47">
        <v>0.42563025210084032</v>
      </c>
      <c r="I44" s="47">
        <v>0.60200119474313019</v>
      </c>
      <c r="J44" s="47">
        <v>0.67135247114530927</v>
      </c>
      <c r="K44" s="47">
        <v>0.52935779816513762</v>
      </c>
      <c r="L44" s="47">
        <v>0.41432376442734536</v>
      </c>
      <c r="M44" s="47">
        <v>3.7767584097859325E-2</v>
      </c>
      <c r="N44" s="48">
        <v>0.37170760580053269</v>
      </c>
    </row>
    <row r="45" spans="1:14" ht="24" customHeight="1" x14ac:dyDescent="0.2">
      <c r="A45" s="8" t="str">
        <f>VLOOKUP("&lt;Zeilentitel_27&gt;",Uebersetzungen!$B$4:$E$48,Uebersetzungen!$B$2+1,FALSE)</f>
        <v>Bregaglia Engadin</v>
      </c>
      <c r="B45" s="62"/>
      <c r="C45" s="47">
        <v>0.25242907112320251</v>
      </c>
      <c r="D45" s="47">
        <v>0.34067303697548817</v>
      </c>
      <c r="E45" s="47">
        <v>0.22949863972017101</v>
      </c>
      <c r="F45" s="47">
        <v>3.9820359281437123E-2</v>
      </c>
      <c r="G45" s="47">
        <v>9.068958856480587E-2</v>
      </c>
      <c r="H45" s="47">
        <v>0.26127744510978046</v>
      </c>
      <c r="I45" s="47">
        <v>0.42514970059880242</v>
      </c>
      <c r="J45" s="47">
        <v>0.51854355804519991</v>
      </c>
      <c r="K45" s="47">
        <v>0.31856287425149699</v>
      </c>
      <c r="L45" s="47">
        <v>0.23024917906123238</v>
      </c>
      <c r="M45" s="47">
        <v>3.0239520958083833E-2</v>
      </c>
      <c r="N45" s="48">
        <v>0.14931427467645356</v>
      </c>
    </row>
    <row r="46" spans="1:14" ht="24" customHeight="1" x14ac:dyDescent="0.2">
      <c r="A46" s="8" t="str">
        <f>VLOOKUP("&lt;Zeilentitel_28&gt;",Uebersetzungen!$B$4:$E$48,Uebersetzungen!$B$2+1,FALSE)</f>
        <v>Bündner Herrschaft</v>
      </c>
      <c r="B46" s="62"/>
      <c r="C46" s="47">
        <v>0.43947772657450079</v>
      </c>
      <c r="D46" s="47">
        <v>0.44170771756978655</v>
      </c>
      <c r="E46" s="47">
        <v>0.47741935483870968</v>
      </c>
      <c r="F46" s="47">
        <v>0.4723809523809524</v>
      </c>
      <c r="G46" s="47">
        <v>0.51766513056835639</v>
      </c>
      <c r="H46" s="47">
        <v>0.61761904761904762</v>
      </c>
      <c r="I46" s="47">
        <v>0.61382488479262676</v>
      </c>
      <c r="J46" s="47">
        <v>0.61827956989247312</v>
      </c>
      <c r="K46" s="47">
        <v>0.61190476190476195</v>
      </c>
      <c r="L46" s="47">
        <v>0.52565284178187399</v>
      </c>
      <c r="M46" s="47">
        <v>0.46063492063492062</v>
      </c>
      <c r="N46" s="48">
        <v>0.39877112135176651</v>
      </c>
    </row>
    <row r="47" spans="1:14" ht="24" customHeight="1" x14ac:dyDescent="0.2">
      <c r="A47" s="8" t="str">
        <f>VLOOKUP("&lt;Zeilentitel_29&gt;",Uebersetzungen!$B$4:$E$48,Uebersetzungen!$B$2+1,FALSE)</f>
        <v>Chur</v>
      </c>
      <c r="B47" s="62"/>
      <c r="C47" s="47">
        <v>0.59920595533498755</v>
      </c>
      <c r="D47" s="47">
        <v>0.705779054916986</v>
      </c>
      <c r="E47" s="47">
        <v>0.63162086818000795</v>
      </c>
      <c r="F47" s="47">
        <v>0.61250000000000004</v>
      </c>
      <c r="G47" s="47">
        <v>0.73352250099561922</v>
      </c>
      <c r="H47" s="47">
        <v>0.77073045267489715</v>
      </c>
      <c r="I47" s="47">
        <v>0.75084627638391077</v>
      </c>
      <c r="J47" s="47">
        <v>0.75344913151364767</v>
      </c>
      <c r="K47" s="47">
        <v>0.76646495209278875</v>
      </c>
      <c r="L47" s="47">
        <v>0.68298277292469867</v>
      </c>
      <c r="M47" s="47">
        <v>0.52168431669188098</v>
      </c>
      <c r="N47" s="48">
        <v>0.60387487189497824</v>
      </c>
    </row>
    <row r="48" spans="1:14" ht="24" customHeight="1" x14ac:dyDescent="0.2">
      <c r="A48" s="8" t="str">
        <f>VLOOKUP("&lt;Zeilentitel_30&gt;",Uebersetzungen!$B$4:$E$48,Uebersetzungen!$B$2+1,FALSE)</f>
        <v>Davos Klosters</v>
      </c>
      <c r="B48" s="62"/>
      <c r="C48" s="47">
        <v>0.61983334708357396</v>
      </c>
      <c r="D48" s="47">
        <v>0.62409704238789698</v>
      </c>
      <c r="E48" s="47">
        <v>0.51005153477470444</v>
      </c>
      <c r="F48" s="47">
        <v>0.10273556231003039</v>
      </c>
      <c r="G48" s="47">
        <v>0.1279417792592478</v>
      </c>
      <c r="H48" s="47">
        <v>0.31315203562340965</v>
      </c>
      <c r="I48" s="47">
        <v>0.42202296846345788</v>
      </c>
      <c r="J48" s="47">
        <v>0.4916138009455982</v>
      </c>
      <c r="K48" s="47">
        <v>0.36885182611381362</v>
      </c>
      <c r="L48" s="47">
        <v>0.19719488593482631</v>
      </c>
      <c r="M48" s="47">
        <v>0.10820013898540654</v>
      </c>
      <c r="N48" s="48">
        <v>0.52653799308061899</v>
      </c>
    </row>
    <row r="49" spans="1:14" ht="24" customHeight="1" x14ac:dyDescent="0.2">
      <c r="A49" s="8" t="str">
        <f>VLOOKUP("&lt;Zeilentitel_31&gt;",Uebersetzungen!$B$4:$E$48,Uebersetzungen!$B$2+1,FALSE)</f>
        <v>Disentis Sedrun</v>
      </c>
      <c r="B49" s="62"/>
      <c r="C49" s="47">
        <v>0.4546008902981889</v>
      </c>
      <c r="D49" s="47">
        <v>0.6762922886382895</v>
      </c>
      <c r="E49" s="47">
        <v>0.36941276907128484</v>
      </c>
      <c r="F49" s="47">
        <v>6.5091367359798355E-2</v>
      </c>
      <c r="G49" s="47">
        <v>0.1354350875053357</v>
      </c>
      <c r="H49" s="47">
        <v>0.27838689350976686</v>
      </c>
      <c r="I49" s="47">
        <v>0.47725868248671366</v>
      </c>
      <c r="J49" s="47">
        <v>0.49419107650475835</v>
      </c>
      <c r="K49" s="47">
        <v>0.28882503192848019</v>
      </c>
      <c r="L49" s="47">
        <v>0.22333456927450254</v>
      </c>
      <c r="M49" s="47">
        <v>4.8659003831417622E-2</v>
      </c>
      <c r="N49" s="48">
        <v>0.31410451856820537</v>
      </c>
    </row>
    <row r="50" spans="1:14" ht="24" customHeight="1" x14ac:dyDescent="0.2">
      <c r="A50" s="8" t="str">
        <f>VLOOKUP("&lt;Zeilentitel_32&gt;",Uebersetzungen!$B$4:$E$48,Uebersetzungen!$B$2+1,FALSE)</f>
        <v>Scuol Samnaun Val Müstair</v>
      </c>
      <c r="B50" s="62"/>
      <c r="C50" s="47">
        <v>0.51275640000581491</v>
      </c>
      <c r="D50" s="47">
        <v>0.62790011033239579</v>
      </c>
      <c r="E50" s="47">
        <v>0.44918518949250608</v>
      </c>
      <c r="F50" s="47">
        <v>0.17269040108156827</v>
      </c>
      <c r="G50" s="47">
        <v>0.10819983907541511</v>
      </c>
      <c r="H50" s="47">
        <v>0.3437840290381125</v>
      </c>
      <c r="I50" s="47">
        <v>0.49929746501961242</v>
      </c>
      <c r="J50" s="47">
        <v>0.52739445079253466</v>
      </c>
      <c r="K50" s="47">
        <v>0.40793218286406296</v>
      </c>
      <c r="L50" s="47">
        <v>0.36625062260115437</v>
      </c>
      <c r="M50" s="47">
        <v>0.12968513472600665</v>
      </c>
      <c r="N50" s="48">
        <v>0.35690803956676159</v>
      </c>
    </row>
    <row r="51" spans="1:14" ht="24" customHeight="1" x14ac:dyDescent="0.2">
      <c r="A51" s="8" t="str">
        <f>VLOOKUP("&lt;Zeilentitel_33&gt;",Uebersetzungen!$B$4:$E$48,Uebersetzungen!$B$2+1,FALSE)</f>
        <v>Engadin St. Moritz</v>
      </c>
      <c r="B51" s="62"/>
      <c r="C51" s="47">
        <v>0.67510382699395621</v>
      </c>
      <c r="D51" s="47">
        <v>0.75686646304769911</v>
      </c>
      <c r="E51" s="47">
        <v>0.58470795670600229</v>
      </c>
      <c r="F51" s="47">
        <v>0.13558157431838169</v>
      </c>
      <c r="G51" s="47">
        <v>0.11900877723161515</v>
      </c>
      <c r="H51" s="47">
        <v>0.35656734739426404</v>
      </c>
      <c r="I51" s="47">
        <v>0.57453907409906868</v>
      </c>
      <c r="J51" s="47">
        <v>0.59845593197462543</v>
      </c>
      <c r="K51" s="47">
        <v>0.43791987501394936</v>
      </c>
      <c r="L51" s="47">
        <v>0.31316506951005535</v>
      </c>
      <c r="M51" s="47">
        <v>0.12053900234348845</v>
      </c>
      <c r="N51" s="48">
        <v>0.51996337982659269</v>
      </c>
    </row>
    <row r="52" spans="1:14" ht="24" customHeight="1" x14ac:dyDescent="0.2">
      <c r="A52" s="8" t="str">
        <f>VLOOKUP("&lt;Zeilentitel_34&gt;",Uebersetzungen!$B$4:$E$48,Uebersetzungen!$B$2+1,FALSE)</f>
        <v>Flims Laax</v>
      </c>
      <c r="B52" s="62"/>
      <c r="C52" s="47">
        <v>0.60196725317693056</v>
      </c>
      <c r="D52" s="47">
        <v>0.73920236851271337</v>
      </c>
      <c r="E52" s="47">
        <v>0.59581704138155756</v>
      </c>
      <c r="F52" s="47">
        <v>0.17861952861952862</v>
      </c>
      <c r="G52" s="47">
        <v>0.17408406155592954</v>
      </c>
      <c r="H52" s="47">
        <v>0.2915713680643795</v>
      </c>
      <c r="I52" s="47">
        <v>0.46376337267576245</v>
      </c>
      <c r="J52" s="47">
        <v>0.51422668603105115</v>
      </c>
      <c r="K52" s="47">
        <v>0.3326569435637286</v>
      </c>
      <c r="L52" s="47">
        <v>0.28081084951009472</v>
      </c>
      <c r="M52" s="47">
        <v>7.0217712957091519E-2</v>
      </c>
      <c r="N52" s="48">
        <v>0.45022545959070415</v>
      </c>
    </row>
    <row r="53" spans="1:14" ht="24" customHeight="1" x14ac:dyDescent="0.2">
      <c r="A53" s="8" t="str">
        <f>VLOOKUP("&lt;Zeilentitel_35&gt;",Uebersetzungen!$B$4:$E$48,Uebersetzungen!$B$2+1,FALSE)</f>
        <v>Lenzerheide</v>
      </c>
      <c r="B53" s="62"/>
      <c r="C53" s="47">
        <v>0.68819926500612494</v>
      </c>
      <c r="D53" s="47">
        <v>0.72131529172122799</v>
      </c>
      <c r="E53" s="47">
        <v>0.55810534912209064</v>
      </c>
      <c r="F53" s="47">
        <v>7.5696202531645565E-2</v>
      </c>
      <c r="G53" s="47">
        <v>0.14400435551925955</v>
      </c>
      <c r="H53" s="47">
        <v>0.32919165952584978</v>
      </c>
      <c r="I53" s="47">
        <v>0.42864250767061945</v>
      </c>
      <c r="J53" s="47">
        <v>0.4942267755780147</v>
      </c>
      <c r="K53" s="47">
        <v>0.4241061130334487</v>
      </c>
      <c r="L53" s="47">
        <v>0.31480312248880726</v>
      </c>
      <c r="M53" s="47">
        <v>0.16141755634638197</v>
      </c>
      <c r="N53" s="48">
        <v>0.51096315004017911</v>
      </c>
    </row>
    <row r="54" spans="1:14" ht="24" customHeight="1" x14ac:dyDescent="0.2">
      <c r="A54" s="8" t="str">
        <f>VLOOKUP("&lt;Zeilentitel_36&gt;",Uebersetzungen!$B$4:$E$48,Uebersetzungen!$B$2+1,FALSE)</f>
        <v>Prättigau</v>
      </c>
      <c r="B54" s="62"/>
      <c r="C54" s="47">
        <v>0.55895753599416809</v>
      </c>
      <c r="D54" s="47">
        <v>0.64513929475939991</v>
      </c>
      <c r="E54" s="47">
        <v>0.4731182795698925</v>
      </c>
      <c r="F54" s="47">
        <v>0.34272030651340996</v>
      </c>
      <c r="G54" s="47">
        <v>0.37606599925843531</v>
      </c>
      <c r="H54" s="47">
        <v>0.43534482758620691</v>
      </c>
      <c r="I54" s="47">
        <v>0.45494994438264741</v>
      </c>
      <c r="J54" s="47">
        <v>0.47154245457916205</v>
      </c>
      <c r="K54" s="47">
        <v>0.41398467432950192</v>
      </c>
      <c r="L54" s="47">
        <v>0.31405265109380792</v>
      </c>
      <c r="M54" s="47">
        <v>0.31302681992337167</v>
      </c>
      <c r="N54" s="48">
        <v>0.38700407860585834</v>
      </c>
    </row>
    <row r="55" spans="1:14" ht="24" customHeight="1" x14ac:dyDescent="0.2">
      <c r="A55" s="8" t="str">
        <f>VLOOKUP("&lt;Zeilentitel_37&gt;",Uebersetzungen!$B$4:$E$48,Uebersetzungen!$B$2+1,FALSE)</f>
        <v>San Bernardino, Mesolcina/Calanca</v>
      </c>
      <c r="B55" s="62"/>
      <c r="C55" s="47">
        <v>0.2335483870967742</v>
      </c>
      <c r="D55" s="47">
        <v>0.31625615763546799</v>
      </c>
      <c r="E55" s="47">
        <v>0.21627945846565269</v>
      </c>
      <c r="F55" s="47">
        <v>0.15647668393782382</v>
      </c>
      <c r="G55" s="47">
        <v>0.15727895704496073</v>
      </c>
      <c r="H55" s="47">
        <v>0.18186528497409327</v>
      </c>
      <c r="I55" s="47">
        <v>0.33394618084572958</v>
      </c>
      <c r="J55" s="47">
        <v>0.44776867792077552</v>
      </c>
      <c r="K55" s="47">
        <v>0.23281519861830743</v>
      </c>
      <c r="L55" s="47">
        <v>0.12480631074799267</v>
      </c>
      <c r="M55" s="47">
        <v>0.10043668122270742</v>
      </c>
      <c r="N55" s="48">
        <v>0.22622904634455557</v>
      </c>
    </row>
    <row r="56" spans="1:14" ht="24" customHeight="1" x14ac:dyDescent="0.2">
      <c r="A56" s="8" t="str">
        <f>VLOOKUP("&lt;Zeilentitel_38&gt;",Uebersetzungen!$B$4:$E$48,Uebersetzungen!$B$2+1,FALSE)</f>
        <v>Val Surses</v>
      </c>
      <c r="B56" s="62"/>
      <c r="C56" s="47">
        <v>0.42158808933002484</v>
      </c>
      <c r="D56" s="47">
        <v>0.49038461538461536</v>
      </c>
      <c r="E56" s="47">
        <v>0.36166253101736973</v>
      </c>
      <c r="F56" s="47">
        <v>9.8653846153846148E-2</v>
      </c>
      <c r="G56" s="47">
        <v>0.15279156327543425</v>
      </c>
      <c r="H56" s="47">
        <v>0.26685897435897438</v>
      </c>
      <c r="I56" s="47">
        <v>0.40130272952853596</v>
      </c>
      <c r="J56" s="47">
        <v>0.37444168734491318</v>
      </c>
      <c r="K56" s="47">
        <v>0.27615384615384614</v>
      </c>
      <c r="L56" s="47">
        <v>0.12009925558312655</v>
      </c>
      <c r="M56" s="47">
        <v>1.1217948717948718E-2</v>
      </c>
      <c r="N56" s="48">
        <v>0.211848635235732</v>
      </c>
    </row>
    <row r="57" spans="1:14" ht="24" customHeight="1" x14ac:dyDescent="0.2">
      <c r="A57" s="8" t="str">
        <f>VLOOKUP("&lt;Zeilentitel_39&gt;",Uebersetzungen!$B$4:$E$48,Uebersetzungen!$B$2+1,FALSE)</f>
        <v>Surselva</v>
      </c>
      <c r="B57" s="62"/>
      <c r="C57" s="47">
        <v>0.39804528946806239</v>
      </c>
      <c r="D57" s="47">
        <v>0.49006622516556292</v>
      </c>
      <c r="E57" s="47">
        <v>0.27008117923520614</v>
      </c>
      <c r="F57" s="47">
        <v>8.2174392935982346E-2</v>
      </c>
      <c r="G57" s="47">
        <v>0.15488143559068576</v>
      </c>
      <c r="H57" s="47">
        <v>0.24619205298013244</v>
      </c>
      <c r="I57" s="47">
        <v>0.35596026490066224</v>
      </c>
      <c r="J57" s="47">
        <v>0.36434522537919251</v>
      </c>
      <c r="K57" s="47">
        <v>0.2715783664459161</v>
      </c>
      <c r="L57" s="47">
        <v>0.20679342020935698</v>
      </c>
      <c r="M57" s="47">
        <v>8.8907284768211914E-2</v>
      </c>
      <c r="N57" s="48">
        <v>0.25437940610980558</v>
      </c>
    </row>
    <row r="58" spans="1:14" ht="24" customHeight="1" x14ac:dyDescent="0.2">
      <c r="A58" s="8" t="str">
        <f>VLOOKUP("&lt;Zeilentitel_40&gt;",Uebersetzungen!$B$4:$E$48,Uebersetzungen!$B$2+1,FALSE)</f>
        <v>Valposchiavo</v>
      </c>
      <c r="B58" s="62"/>
      <c r="C58" s="47">
        <v>0.16176751288413818</v>
      </c>
      <c r="D58" s="47">
        <v>0.22301571107937157</v>
      </c>
      <c r="E58" s="47">
        <v>0.17112044283260164</v>
      </c>
      <c r="F58" s="47">
        <v>0.19122287968441815</v>
      </c>
      <c r="G58" s="47">
        <v>0.36037411719793855</v>
      </c>
      <c r="H58" s="47">
        <v>0.5063116370808679</v>
      </c>
      <c r="I58" s="47">
        <v>0.63580836037411714</v>
      </c>
      <c r="J58" s="47">
        <v>0.67169307119679333</v>
      </c>
      <c r="K58" s="47">
        <v>0.48284023668639053</v>
      </c>
      <c r="L58" s="47">
        <v>0.40685245275815995</v>
      </c>
      <c r="M58" s="47">
        <v>0.12879684418145956</v>
      </c>
      <c r="N58" s="48">
        <v>0.23029204046573773</v>
      </c>
    </row>
    <row r="59" spans="1:14" ht="24" customHeight="1" x14ac:dyDescent="0.2">
      <c r="A59" s="8" t="str">
        <f>VLOOKUP("&lt;Zeilentitel_41&gt;",Uebersetzungen!$B$4:$E$48,Uebersetzungen!$B$2+1,FALSE)</f>
        <v>Vals</v>
      </c>
      <c r="B59" s="62"/>
      <c r="C59" s="47">
        <v>0.54377880184331795</v>
      </c>
      <c r="D59" s="47">
        <v>0.69711470795214636</v>
      </c>
      <c r="E59" s="47">
        <v>0.47149440421329825</v>
      </c>
      <c r="F59" s="47">
        <v>0.18653061224489795</v>
      </c>
      <c r="G59" s="47">
        <v>0.28031599736668861</v>
      </c>
      <c r="H59" s="47">
        <v>0.28696236559139787</v>
      </c>
      <c r="I59" s="47">
        <v>0.44015799868334432</v>
      </c>
      <c r="J59" s="47">
        <v>0.49664252797893349</v>
      </c>
      <c r="K59" s="47">
        <v>0.3674829931972789</v>
      </c>
      <c r="L59" s="47">
        <v>0.36471362738643842</v>
      </c>
      <c r="M59" s="47">
        <v>0.36489795918367346</v>
      </c>
      <c r="N59" s="48">
        <v>0.48071099407504936</v>
      </c>
    </row>
    <row r="60" spans="1:14" ht="24" customHeight="1" x14ac:dyDescent="0.2">
      <c r="A60" s="8" t="str">
        <f>VLOOKUP("&lt;Zeilentitel_42&gt;",Uebersetzungen!$B$4:$E$48,Uebersetzungen!$B$2+1,FALSE)</f>
        <v>Viamala</v>
      </c>
      <c r="B60" s="63"/>
      <c r="C60" s="47">
        <v>0.32140384881628131</v>
      </c>
      <c r="D60" s="47">
        <v>0.47795909325850994</v>
      </c>
      <c r="E60" s="47">
        <v>0.30192719486081371</v>
      </c>
      <c r="F60" s="47">
        <v>0.16766595289079228</v>
      </c>
      <c r="G60" s="47">
        <v>0.23855803694513372</v>
      </c>
      <c r="H60" s="47">
        <v>0.33646723646723647</v>
      </c>
      <c r="I60" s="47">
        <v>0.498508498092265</v>
      </c>
      <c r="J60" s="47">
        <v>0.48831078737426292</v>
      </c>
      <c r="K60" s="47">
        <v>0.38508960573476703</v>
      </c>
      <c r="L60" s="47">
        <v>0.26985778702740199</v>
      </c>
      <c r="M60" s="47">
        <v>0.16356245380635626</v>
      </c>
      <c r="N60" s="48">
        <v>0.2157213360989915</v>
      </c>
    </row>
    <row r="61" spans="1:14" ht="24" customHeight="1" thickBot="1" x14ac:dyDescent="0.25">
      <c r="A61" s="9" t="str">
        <f>VLOOKUP("&lt;Zeilentitel_43&gt;",Uebersetzungen!$B$4:$E$48,Uebersetzungen!$B$2+1,FALSE)</f>
        <v>Graubünden</v>
      </c>
      <c r="B61" s="64"/>
      <c r="C61" s="49">
        <v>0.59182598401894049</v>
      </c>
      <c r="D61" s="49">
        <v>0.66819895249861194</v>
      </c>
      <c r="E61" s="49">
        <v>0.51436008933457578</v>
      </c>
      <c r="F61" s="49">
        <v>0.14820698838330501</v>
      </c>
      <c r="G61" s="49">
        <v>0.15406217073736972</v>
      </c>
      <c r="H61" s="49">
        <v>0.32843985745360299</v>
      </c>
      <c r="I61" s="49">
        <v>0.49156194750846782</v>
      </c>
      <c r="J61" s="49">
        <v>0.52628996574364828</v>
      </c>
      <c r="K61" s="49">
        <v>0.38859616801768609</v>
      </c>
      <c r="L61" s="49">
        <v>0.27839643983381535</v>
      </c>
      <c r="M61" s="49">
        <v>0.12744926468330722</v>
      </c>
      <c r="N61" s="50">
        <v>0.45740056719106859</v>
      </c>
    </row>
    <row r="62" spans="1:14" ht="24" customHeight="1" thickBot="1" x14ac:dyDescent="0.25">
      <c r="A62" s="43"/>
      <c r="B62" s="44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4"/>
      <c r="N62" s="14"/>
    </row>
    <row r="63" spans="1:14" ht="24" customHeight="1" thickBot="1" x14ac:dyDescent="0.25">
      <c r="A63" s="43"/>
      <c r="B63" s="59" t="str">
        <f>VLOOKUP("&lt;Zeilentitel_44&gt;",Uebersetzungen!$B$4:$E$48,Uebersetzungen!$B$2+1,FALSE)</f>
        <v>Farbskala:</v>
      </c>
      <c r="C63" s="54" t="s">
        <v>144</v>
      </c>
      <c r="D63" s="55" t="s">
        <v>139</v>
      </c>
      <c r="E63" s="56" t="s">
        <v>140</v>
      </c>
      <c r="F63" s="57" t="s">
        <v>142</v>
      </c>
      <c r="G63" s="58" t="s">
        <v>141</v>
      </c>
      <c r="H63" s="67" t="s">
        <v>143</v>
      </c>
      <c r="I63" s="13"/>
      <c r="J63" s="13"/>
      <c r="K63" s="13"/>
      <c r="L63" s="13"/>
      <c r="M63" s="14"/>
      <c r="N63" s="14"/>
    </row>
    <row r="64" spans="1:14" ht="24" customHeight="1" x14ac:dyDescent="0.2">
      <c r="A64" s="43"/>
      <c r="B64" s="44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4"/>
      <c r="N64" s="14"/>
    </row>
    <row r="65" spans="1:14" x14ac:dyDescent="0.2">
      <c r="A65" s="51" t="str">
        <f>VLOOKUP("&lt;Legende_1&gt;",Uebersetzungen!$B$4:$E$56,Uebersetzungen!$B$2+1,FALSE)</f>
        <v>Aktuelle Zuordnung der politischen Gemeinden zu Destinationen:</v>
      </c>
      <c r="B65" s="12"/>
      <c r="C65" s="10"/>
      <c r="D65" s="13"/>
      <c r="E65" s="66" t="s">
        <v>133</v>
      </c>
      <c r="F65" s="13"/>
      <c r="G65" s="13"/>
      <c r="H65" s="13"/>
      <c r="I65" s="13"/>
      <c r="J65" s="13"/>
      <c r="K65" s="13"/>
      <c r="L65" s="13"/>
      <c r="M65" s="14"/>
      <c r="N65" s="15"/>
    </row>
    <row r="66" spans="1:14" x14ac:dyDescent="0.2">
      <c r="A66" s="51" t="str">
        <f>VLOOKUP("&lt;Legende_3&gt;",Uebersetzungen!$B$4:$E$56,Uebersetzungen!$B$2+1,FALSE)</f>
        <v>* Berechnungsgrundlage: Bruttozimmerauslastung = Zimmernächte / (Zimmer * Anzahl Kalendertage)</v>
      </c>
      <c r="B66" s="12"/>
      <c r="C66" s="10"/>
      <c r="D66" s="13"/>
      <c r="F66" s="13"/>
      <c r="G66" s="13"/>
      <c r="H66" s="13"/>
      <c r="I66" s="13"/>
      <c r="J66" s="13"/>
      <c r="K66" s="13"/>
      <c r="L66" s="13"/>
      <c r="M66" s="14"/>
      <c r="N66" s="15"/>
    </row>
    <row r="67" spans="1:14" x14ac:dyDescent="0.2">
      <c r="A67" s="51"/>
      <c r="B67" s="12"/>
      <c r="C67" s="10"/>
      <c r="D67" s="13"/>
      <c r="E67" s="65"/>
      <c r="F67" s="13"/>
      <c r="G67" s="13"/>
      <c r="H67" s="13"/>
      <c r="I67" s="13"/>
      <c r="J67" s="13"/>
      <c r="K67" s="13"/>
      <c r="L67" s="13"/>
      <c r="M67" s="14"/>
      <c r="N67" s="15"/>
    </row>
    <row r="68" spans="1:14" x14ac:dyDescent="0.2">
      <c r="A68" s="43"/>
      <c r="B68" s="44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4"/>
      <c r="N68" s="14"/>
    </row>
    <row r="69" spans="1:14" ht="18" x14ac:dyDescent="0.25">
      <c r="A69" s="2" t="str">
        <f>VLOOKUP("&lt;Titel3&gt;",Uebersetzungen!$B$4:$E$95,Uebersetzungen!$B$2+1,FALSE)</f>
        <v>Hotel- und Kurbetriebe: Bruttozimmerauslastung* 2023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s="39" customFormat="1" x14ac:dyDescent="0.2">
      <c r="A70" s="36" t="str">
        <f>VLOOKUP("&lt;Titeldef&gt;",Uebersetzungen!$B$4:$E$95,Uebersetzungen!$B$2+1,FALSE)</f>
        <v>definitive Ergebnisse</v>
      </c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3.5" thickBot="1" x14ac:dyDescent="0.25"/>
    <row r="72" spans="1:14" ht="24" customHeight="1" thickBot="1" x14ac:dyDescent="0.25">
      <c r="A72" s="52" t="str">
        <f>VLOOKUP("&lt;Spaltentitel_1&gt;",Uebersetzungen!$B$4:$E$48,Uebersetzungen!$B$2+1,FALSE)</f>
        <v>Destination</v>
      </c>
      <c r="B72" s="53"/>
      <c r="C72" s="42" t="str">
        <f>VLOOKUP("&lt;Spaltentitel_2&gt;",Uebersetzungen!$B$4:$E$48,Uebersetzungen!$B$2+1,FALSE)</f>
        <v>Januar</v>
      </c>
      <c r="D72" s="5" t="str">
        <f>VLOOKUP("&lt;Spaltentitel_3&gt;",Uebersetzungen!$B$4:$E$48,Uebersetzungen!$B$2+1,FALSE)</f>
        <v>Februar</v>
      </c>
      <c r="E72" s="41" t="str">
        <f>VLOOKUP("&lt;Spaltentitel_4&gt;",Uebersetzungen!$B$4:$E$48,Uebersetzungen!$B$2+1,FALSE)</f>
        <v>März</v>
      </c>
      <c r="F72" s="41" t="str">
        <f>VLOOKUP("&lt;Spaltentitel_5&gt;",Uebersetzungen!$B$4:$E$48,Uebersetzungen!$B$2+1,FALSE)</f>
        <v>April</v>
      </c>
      <c r="G72" s="41" t="str">
        <f>VLOOKUP("&lt;Spaltentitel_6&gt;",Uebersetzungen!$B$4:$E$48,Uebersetzungen!$B$2+1,FALSE)</f>
        <v>Mai</v>
      </c>
      <c r="H72" s="41" t="str">
        <f>VLOOKUP("&lt;Spaltentitel_7&gt;",Uebersetzungen!$B$4:$E$48,Uebersetzungen!$B$2+1,FALSE)</f>
        <v>Juni</v>
      </c>
      <c r="I72" s="41" t="str">
        <f>VLOOKUP("&lt;Spaltentitel_8&gt;",Uebersetzungen!$B$4:$E$48,Uebersetzungen!$B$2+1,FALSE)</f>
        <v>Juli</v>
      </c>
      <c r="J72" s="41" t="str">
        <f>VLOOKUP("&lt;Spaltentitel_9&gt;",Uebersetzungen!$B$4:$E$48,Uebersetzungen!$B$2+1,FALSE)</f>
        <v>August</v>
      </c>
      <c r="K72" s="41" t="str">
        <f>VLOOKUP("&lt;Spaltentitel_10&gt;",Uebersetzungen!$B$4:$E$48,Uebersetzungen!$B$2+1,FALSE)</f>
        <v>September</v>
      </c>
      <c r="L72" s="41" t="str">
        <f>VLOOKUP("&lt;Spaltentitel_11&gt;",Uebersetzungen!$B$4:$E$48,Uebersetzungen!$B$2+1,FALSE)</f>
        <v>Oktober</v>
      </c>
      <c r="M72" s="6" t="str">
        <f>VLOOKUP("&lt;Spaltentitel_12&gt;",Uebersetzungen!$B$4:$E$48,Uebersetzungen!$B$2+1,FALSE)</f>
        <v>November</v>
      </c>
      <c r="N72" s="7" t="str">
        <f>VLOOKUP("&lt;Spaltentitel_13&gt;",Uebersetzungen!$B$4:$E$48,Uebersetzungen!$B$2+1,FALSE)</f>
        <v>Dezember</v>
      </c>
    </row>
    <row r="73" spans="1:14" ht="24" customHeight="1" x14ac:dyDescent="0.2">
      <c r="A73" s="60" t="str">
        <f>VLOOKUP("&lt;Zeilentitel_25&gt;",Uebersetzungen!$B$4:$E$48,Uebersetzungen!$B$2+1,FALSE)</f>
        <v>Arosa</v>
      </c>
      <c r="B73" s="61"/>
      <c r="C73" s="45">
        <v>0.66968023358075068</v>
      </c>
      <c r="D73" s="45">
        <v>0.76548339788666186</v>
      </c>
      <c r="E73" s="45">
        <v>0.56365427234671261</v>
      </c>
      <c r="F73" s="45">
        <v>0.12266448564158487</v>
      </c>
      <c r="G73" s="45">
        <v>7.7742990818587959E-3</v>
      </c>
      <c r="H73" s="45">
        <v>0.13456655785273849</v>
      </c>
      <c r="I73" s="45">
        <v>0.36522257213379861</v>
      </c>
      <c r="J73" s="45">
        <v>0.31330325985190227</v>
      </c>
      <c r="K73" s="45">
        <v>0.22601583113456464</v>
      </c>
      <c r="L73" s="45">
        <v>0.12051698591499009</v>
      </c>
      <c r="M73" s="45">
        <v>5.6594724220623505E-2</v>
      </c>
      <c r="N73" s="46">
        <v>0.47357052323401827</v>
      </c>
    </row>
    <row r="74" spans="1:14" ht="24" customHeight="1" x14ac:dyDescent="0.2">
      <c r="A74" s="8" t="str">
        <f>VLOOKUP("&lt;Zeilentitel_26&gt;",Uebersetzungen!$B$4:$E$48,Uebersetzungen!$B$2+1,FALSE)</f>
        <v>Bergün Filisur</v>
      </c>
      <c r="B74" s="62"/>
      <c r="C74" s="47">
        <v>0.67057274522712307</v>
      </c>
      <c r="D74" s="47">
        <v>0.708515130190007</v>
      </c>
      <c r="E74" s="47">
        <v>0.33423692057468146</v>
      </c>
      <c r="F74" s="47">
        <v>7.1621621621621626E-2</v>
      </c>
      <c r="G74" s="47">
        <v>0.30645161290322581</v>
      </c>
      <c r="H74" s="47">
        <v>0.58228228228228229</v>
      </c>
      <c r="I74" s="47">
        <v>0.68279569892473113</v>
      </c>
      <c r="J74" s="47">
        <v>0.62670735251380416</v>
      </c>
      <c r="K74" s="47">
        <v>0.55075075075075075</v>
      </c>
      <c r="L74" s="47">
        <v>0.45175820982272596</v>
      </c>
      <c r="M74" s="47">
        <v>1.996996996996997E-2</v>
      </c>
      <c r="N74" s="48">
        <v>0.36050566695727987</v>
      </c>
    </row>
    <row r="75" spans="1:14" ht="24" customHeight="1" x14ac:dyDescent="0.2">
      <c r="A75" s="8" t="str">
        <f>VLOOKUP("&lt;Zeilentitel_27&gt;",Uebersetzungen!$B$4:$E$48,Uebersetzungen!$B$2+1,FALSE)</f>
        <v>Bregaglia Engadin</v>
      </c>
      <c r="B75" s="62"/>
      <c r="C75" s="47">
        <v>0.20963039593717672</v>
      </c>
      <c r="D75" s="47">
        <v>0.29586810093495525</v>
      </c>
      <c r="E75" s="47">
        <v>0.17850089344493558</v>
      </c>
      <c r="F75" s="47">
        <v>7.026239067055394E-2</v>
      </c>
      <c r="G75" s="47">
        <v>7.3760231102551754E-2</v>
      </c>
      <c r="H75" s="47">
        <v>0.2318273092369478</v>
      </c>
      <c r="I75" s="47">
        <v>0.45433346288379323</v>
      </c>
      <c r="J75" s="47">
        <v>0.50544111931597357</v>
      </c>
      <c r="K75" s="47">
        <v>0.36164658634538155</v>
      </c>
      <c r="L75" s="47">
        <v>0.25460495558672275</v>
      </c>
      <c r="M75" s="47">
        <v>1.9800995024875621E-2</v>
      </c>
      <c r="N75" s="48">
        <v>0.17091959557053443</v>
      </c>
    </row>
    <row r="76" spans="1:14" ht="24" customHeight="1" x14ac:dyDescent="0.2">
      <c r="A76" s="8" t="str">
        <f>VLOOKUP("&lt;Zeilentitel_28&gt;",Uebersetzungen!$B$4:$E$48,Uebersetzungen!$B$2+1,FALSE)</f>
        <v>Bündner Herrschaft</v>
      </c>
      <c r="B76" s="62"/>
      <c r="C76" s="47">
        <v>0.33410138248847926</v>
      </c>
      <c r="D76" s="47">
        <v>0.47323481116584565</v>
      </c>
      <c r="E76" s="47">
        <v>0.48294930875576036</v>
      </c>
      <c r="F76" s="47">
        <v>0.45857142857142857</v>
      </c>
      <c r="G76" s="47">
        <v>0.55698924731182797</v>
      </c>
      <c r="H76" s="47">
        <v>0.62492063492063488</v>
      </c>
      <c r="I76" s="47">
        <v>0.56052227342549921</v>
      </c>
      <c r="J76" s="47">
        <v>0.62780337941628261</v>
      </c>
      <c r="K76" s="47">
        <v>0.66111111111111109</v>
      </c>
      <c r="L76" s="47">
        <v>0.60568356374807986</v>
      </c>
      <c r="M76" s="47">
        <v>0.42126984126984129</v>
      </c>
      <c r="N76" s="48">
        <v>0.37019969278033793</v>
      </c>
    </row>
    <row r="77" spans="1:14" ht="24" customHeight="1" x14ac:dyDescent="0.2">
      <c r="A77" s="8" t="str">
        <f>VLOOKUP("&lt;Zeilentitel_29&gt;",Uebersetzungen!$B$4:$E$48,Uebersetzungen!$B$2+1,FALSE)</f>
        <v>Chur</v>
      </c>
      <c r="B77" s="62"/>
      <c r="C77" s="47">
        <v>0.5042912104172832</v>
      </c>
      <c r="D77" s="47">
        <v>0.57766529579247072</v>
      </c>
      <c r="E77" s="47">
        <v>0.55499654730196313</v>
      </c>
      <c r="F77" s="47">
        <v>0.53991163475699555</v>
      </c>
      <c r="G77" s="47">
        <v>0.65238253598745788</v>
      </c>
      <c r="H77" s="47">
        <v>0.73019145802650953</v>
      </c>
      <c r="I77" s="47">
        <v>0.65898617511520741</v>
      </c>
      <c r="J77" s="47">
        <v>0.70953489476934772</v>
      </c>
      <c r="K77" s="47">
        <v>0.76602847324496814</v>
      </c>
      <c r="L77" s="47">
        <v>0.64991210983894721</v>
      </c>
      <c r="M77" s="47">
        <v>0.4854688267059401</v>
      </c>
      <c r="N77" s="48">
        <v>0.53836286759466012</v>
      </c>
    </row>
    <row r="78" spans="1:14" ht="24" customHeight="1" x14ac:dyDescent="0.2">
      <c r="A78" s="8" t="str">
        <f>VLOOKUP("&lt;Zeilentitel_30&gt;",Uebersetzungen!$B$4:$E$48,Uebersetzungen!$B$2+1,FALSE)</f>
        <v>Davos Klosters</v>
      </c>
      <c r="B78" s="62"/>
      <c r="C78" s="47">
        <v>0.60187869307018782</v>
      </c>
      <c r="D78" s="47">
        <v>0.61430190443734689</v>
      </c>
      <c r="E78" s="47">
        <v>0.44291518424160498</v>
      </c>
      <c r="F78" s="47">
        <v>0.12939596285209917</v>
      </c>
      <c r="G78" s="47">
        <v>0.11336852214438331</v>
      </c>
      <c r="H78" s="47">
        <v>0.30076159704592659</v>
      </c>
      <c r="I78" s="47">
        <v>0.45120106628328394</v>
      </c>
      <c r="J78" s="47">
        <v>0.45988708179830473</v>
      </c>
      <c r="K78" s="47">
        <v>0.3749148870318787</v>
      </c>
      <c r="L78" s="47">
        <v>0.19775075896929725</v>
      </c>
      <c r="M78" s="47">
        <v>0.11792613197341988</v>
      </c>
      <c r="N78" s="48">
        <v>0.46694931730150896</v>
      </c>
    </row>
    <row r="79" spans="1:14" ht="24" customHeight="1" x14ac:dyDescent="0.2">
      <c r="A79" s="8" t="str">
        <f>VLOOKUP("&lt;Zeilentitel_31&gt;",Uebersetzungen!$B$4:$E$48,Uebersetzungen!$B$2+1,FALSE)</f>
        <v>Disentis Sedrun</v>
      </c>
      <c r="B79" s="62"/>
      <c r="C79" s="47">
        <v>0.51600351449730142</v>
      </c>
      <c r="D79" s="47">
        <v>0.76868375150945922</v>
      </c>
      <c r="E79" s="47">
        <v>0.422806577130664</v>
      </c>
      <c r="F79" s="47">
        <v>0.11582360570687419</v>
      </c>
      <c r="G79" s="47">
        <v>8.5791389481611649E-2</v>
      </c>
      <c r="H79" s="47">
        <v>0.31212710765239948</v>
      </c>
      <c r="I79" s="47">
        <v>0.50257682763886236</v>
      </c>
      <c r="J79" s="47">
        <v>0.44429598523891328</v>
      </c>
      <c r="K79" s="47">
        <v>0.35009861932938857</v>
      </c>
      <c r="L79" s="47">
        <v>0.20913660367754661</v>
      </c>
      <c r="M79" s="47">
        <v>4.9112426035502955E-2</v>
      </c>
      <c r="N79" s="48">
        <v>0.23369599796398804</v>
      </c>
    </row>
    <row r="80" spans="1:14" ht="24" customHeight="1" x14ac:dyDescent="0.2">
      <c r="A80" s="8" t="str">
        <f>VLOOKUP("&lt;Zeilentitel_32&gt;",Uebersetzungen!$B$4:$E$48,Uebersetzungen!$B$2+1,FALSE)</f>
        <v>Scuol Samnaun Val Müstair</v>
      </c>
      <c r="B80" s="62"/>
      <c r="C80" s="47">
        <v>0.54365632224382632</v>
      </c>
      <c r="D80" s="47">
        <v>0.62492839958758162</v>
      </c>
      <c r="E80" s="47">
        <v>0.44850498338870431</v>
      </c>
      <c r="F80" s="47">
        <v>0.22858724885302958</v>
      </c>
      <c r="G80" s="47">
        <v>0.12662332648743804</v>
      </c>
      <c r="H80" s="47">
        <v>0.34914632200414869</v>
      </c>
      <c r="I80" s="47">
        <v>0.53181712694360639</v>
      </c>
      <c r="J80" s="47">
        <v>0.53783553802119599</v>
      </c>
      <c r="K80" s="47">
        <v>0.4646043165467626</v>
      </c>
      <c r="L80" s="47">
        <v>0.3952772708997</v>
      </c>
      <c r="M80" s="47">
        <v>8.9275500476644426E-2</v>
      </c>
      <c r="N80" s="48">
        <v>0.34555183123712291</v>
      </c>
    </row>
    <row r="81" spans="1:14" ht="24" customHeight="1" x14ac:dyDescent="0.2">
      <c r="A81" s="8" t="str">
        <f>VLOOKUP("&lt;Zeilentitel_33&gt;",Uebersetzungen!$B$4:$E$48,Uebersetzungen!$B$2+1,FALSE)</f>
        <v>Engadin St. Moritz</v>
      </c>
      <c r="B81" s="62"/>
      <c r="C81" s="47">
        <v>0.64121327255650074</v>
      </c>
      <c r="D81" s="47">
        <v>0.71040495544298909</v>
      </c>
      <c r="E81" s="47">
        <v>0.52329808064781458</v>
      </c>
      <c r="F81" s="47">
        <v>0.16975165562913908</v>
      </c>
      <c r="G81" s="47">
        <v>0.11101655453684227</v>
      </c>
      <c r="H81" s="47">
        <v>0.35248764415156508</v>
      </c>
      <c r="I81" s="47">
        <v>0.62760269968645377</v>
      </c>
      <c r="J81" s="47">
        <v>0.62373917202529627</v>
      </c>
      <c r="K81" s="47">
        <v>0.48260226712666338</v>
      </c>
      <c r="L81" s="47">
        <v>0.30799452821785328</v>
      </c>
      <c r="M81" s="47">
        <v>8.6360644948996382E-2</v>
      </c>
      <c r="N81" s="48">
        <v>0.50170551904896632</v>
      </c>
    </row>
    <row r="82" spans="1:14" ht="24" customHeight="1" x14ac:dyDescent="0.2">
      <c r="A82" s="8" t="str">
        <f>VLOOKUP("&lt;Zeilentitel_34&gt;",Uebersetzungen!$B$4:$E$48,Uebersetzungen!$B$2+1,FALSE)</f>
        <v>Flims Laax</v>
      </c>
      <c r="B82" s="62"/>
      <c r="C82" s="47">
        <v>0.70714095771882091</v>
      </c>
      <c r="D82" s="47">
        <v>0.79806704130496575</v>
      </c>
      <c r="E82" s="47">
        <v>0.52424980056047621</v>
      </c>
      <c r="F82" s="47">
        <v>0.2888395688015219</v>
      </c>
      <c r="G82" s="47">
        <v>0.15406958905230431</v>
      </c>
      <c r="H82" s="47">
        <v>0.29900655252589303</v>
      </c>
      <c r="I82" s="47">
        <v>0.48988483645959047</v>
      </c>
      <c r="J82" s="47">
        <v>0.45873136007527565</v>
      </c>
      <c r="K82" s="47">
        <v>0.39528042328042329</v>
      </c>
      <c r="L82" s="47">
        <v>0.2639723619117707</v>
      </c>
      <c r="M82" s="47">
        <v>5.7952622673434859E-2</v>
      </c>
      <c r="N82" s="48">
        <v>0.40103569674144424</v>
      </c>
    </row>
    <row r="83" spans="1:14" ht="24" customHeight="1" x14ac:dyDescent="0.2">
      <c r="A83" s="8" t="str">
        <f>VLOOKUP("&lt;Zeilentitel_35&gt;",Uebersetzungen!$B$4:$E$48,Uebersetzungen!$B$2+1,FALSE)</f>
        <v>Lenzerheide</v>
      </c>
      <c r="B83" s="62"/>
      <c r="C83" s="47">
        <v>0.69432421396488364</v>
      </c>
      <c r="D83" s="47">
        <v>0.73205296086134153</v>
      </c>
      <c r="E83" s="47">
        <v>0.54904042466312786</v>
      </c>
      <c r="F83" s="47">
        <v>7.828410689170183E-2</v>
      </c>
      <c r="G83" s="47">
        <v>0.10557925917873739</v>
      </c>
      <c r="H83" s="47">
        <v>0.37222690255546192</v>
      </c>
      <c r="I83" s="47">
        <v>0.42003424192189581</v>
      </c>
      <c r="J83" s="47">
        <v>0.42979047204935183</v>
      </c>
      <c r="K83" s="47">
        <v>0.41378826172423477</v>
      </c>
      <c r="L83" s="47">
        <v>0.29717096502432261</v>
      </c>
      <c r="M83" s="47">
        <v>0.1038917089678511</v>
      </c>
      <c r="N83" s="48">
        <v>0.54110037661699684</v>
      </c>
    </row>
    <row r="84" spans="1:14" ht="24" customHeight="1" x14ac:dyDescent="0.2">
      <c r="A84" s="8" t="str">
        <f>VLOOKUP("&lt;Zeilentitel_36&gt;",Uebersetzungen!$B$4:$E$48,Uebersetzungen!$B$2+1,FALSE)</f>
        <v>Prättigau</v>
      </c>
      <c r="B84" s="62"/>
      <c r="C84" s="47">
        <v>0.51780821917808217</v>
      </c>
      <c r="D84" s="47">
        <v>0.65706188001889465</v>
      </c>
      <c r="E84" s="47">
        <v>0.53530711444984536</v>
      </c>
      <c r="F84" s="47">
        <v>0.34712328767123285</v>
      </c>
      <c r="G84" s="47">
        <v>0.38771542200618647</v>
      </c>
      <c r="H84" s="47">
        <v>0.45589887640449439</v>
      </c>
      <c r="I84" s="47">
        <v>0.44463573758608194</v>
      </c>
      <c r="J84" s="47">
        <v>0.43548387096774194</v>
      </c>
      <c r="K84" s="47">
        <v>0.47985347985347987</v>
      </c>
      <c r="L84" s="47">
        <v>0.35758596242467211</v>
      </c>
      <c r="M84" s="47">
        <v>0.30521978021978025</v>
      </c>
      <c r="N84" s="48">
        <v>0.3683977313009571</v>
      </c>
    </row>
    <row r="85" spans="1:14" ht="24" customHeight="1" x14ac:dyDescent="0.2">
      <c r="A85" s="8" t="str">
        <f>VLOOKUP("&lt;Zeilentitel_37&gt;",Uebersetzungen!$B$4:$E$48,Uebersetzungen!$B$2+1,FALSE)</f>
        <v>San Bernardino, Mesolcina/Calanca</v>
      </c>
      <c r="B85" s="62"/>
      <c r="C85" s="47">
        <v>0.27211557490599642</v>
      </c>
      <c r="D85" s="47">
        <v>0.29003596361328537</v>
      </c>
      <c r="E85" s="47">
        <v>0.15159311300217693</v>
      </c>
      <c r="F85" s="47">
        <v>0.16548323471400395</v>
      </c>
      <c r="G85" s="47">
        <v>0.20404657377362093</v>
      </c>
      <c r="H85" s="47">
        <v>0.31854043392504933</v>
      </c>
      <c r="I85" s="47">
        <v>0.49131513647642677</v>
      </c>
      <c r="J85" s="47">
        <v>0.45142202710440926</v>
      </c>
      <c r="K85" s="47">
        <v>0.25404339250493096</v>
      </c>
      <c r="L85" s="47">
        <v>0.13857606413437679</v>
      </c>
      <c r="M85" s="47">
        <v>0.12366863905325444</v>
      </c>
      <c r="N85" s="48">
        <v>0.17961443023477763</v>
      </c>
    </row>
    <row r="86" spans="1:14" ht="24" customHeight="1" x14ac:dyDescent="0.2">
      <c r="A86" s="8" t="str">
        <f>VLOOKUP("&lt;Zeilentitel_38&gt;",Uebersetzungen!$B$4:$E$48,Uebersetzungen!$B$2+1,FALSE)</f>
        <v>Val Surses</v>
      </c>
      <c r="B86" s="62"/>
      <c r="C86" s="47">
        <v>0.38684911151012319</v>
      </c>
      <c r="D86" s="47">
        <v>0.50479846449136279</v>
      </c>
      <c r="E86" s="47">
        <v>0.27713454275277072</v>
      </c>
      <c r="F86" s="47">
        <v>7.703134996801024E-2</v>
      </c>
      <c r="G86" s="47">
        <v>0.10736177326481332</v>
      </c>
      <c r="H86" s="47">
        <v>0.218170185540627</v>
      </c>
      <c r="I86" s="47">
        <v>0.36265508684863523</v>
      </c>
      <c r="J86" s="47">
        <v>0.36147642679900743</v>
      </c>
      <c r="K86" s="47">
        <v>0.27833333333333332</v>
      </c>
      <c r="L86" s="47">
        <v>0.14404466501240695</v>
      </c>
      <c r="M86" s="47">
        <v>2.5705128205128207E-2</v>
      </c>
      <c r="N86" s="48">
        <v>0.22369727047146401</v>
      </c>
    </row>
    <row r="87" spans="1:14" ht="24" customHeight="1" x14ac:dyDescent="0.2">
      <c r="A87" s="8" t="str">
        <f>VLOOKUP("&lt;Zeilentitel_39&gt;",Uebersetzungen!$B$4:$E$48,Uebersetzungen!$B$2+1,FALSE)</f>
        <v>Surselva</v>
      </c>
      <c r="B87" s="62"/>
      <c r="C87" s="47">
        <v>0.36946607341490545</v>
      </c>
      <c r="D87" s="47">
        <v>0.5077288941736029</v>
      </c>
      <c r="E87" s="47">
        <v>0.30305895439377084</v>
      </c>
      <c r="F87" s="47">
        <v>9.5238095238095233E-2</v>
      </c>
      <c r="G87" s="47">
        <v>0.15164998146088246</v>
      </c>
      <c r="H87" s="47">
        <v>0.23667214012041599</v>
      </c>
      <c r="I87" s="47">
        <v>0.3143704645373166</v>
      </c>
      <c r="J87" s="47">
        <v>0.32681815774140577</v>
      </c>
      <c r="K87" s="47">
        <v>0.2988505747126437</v>
      </c>
      <c r="L87" s="47">
        <v>0.21680173738015784</v>
      </c>
      <c r="M87" s="47">
        <v>5.9222769567597151E-2</v>
      </c>
      <c r="N87" s="48">
        <v>0.21711955082366652</v>
      </c>
    </row>
    <row r="88" spans="1:14" ht="24" customHeight="1" x14ac:dyDescent="0.2">
      <c r="A88" s="8" t="str">
        <f>VLOOKUP("&lt;Zeilentitel_40&gt;",Uebersetzungen!$B$4:$E$48,Uebersetzungen!$B$2+1,FALSE)</f>
        <v>Valposchiavo</v>
      </c>
      <c r="B88" s="62"/>
      <c r="C88" s="47">
        <v>0.15546860087803016</v>
      </c>
      <c r="D88" s="47">
        <v>0.18312589267496429</v>
      </c>
      <c r="E88" s="47">
        <v>0.12597824012216072</v>
      </c>
      <c r="F88" s="47">
        <v>0.20808678500986194</v>
      </c>
      <c r="G88" s="47">
        <v>0.35102118724947506</v>
      </c>
      <c r="H88" s="47">
        <v>0.52583826429980274</v>
      </c>
      <c r="I88" s="47">
        <v>0.66644397785836995</v>
      </c>
      <c r="J88" s="47">
        <v>0.68658140866577588</v>
      </c>
      <c r="K88" s="47">
        <v>0.60236686390532546</v>
      </c>
      <c r="L88" s="47">
        <v>0.47423172361137622</v>
      </c>
      <c r="M88" s="47">
        <v>0.12840236686390533</v>
      </c>
      <c r="N88" s="48">
        <v>0.23468219125787365</v>
      </c>
    </row>
    <row r="89" spans="1:14" ht="24" customHeight="1" x14ac:dyDescent="0.2">
      <c r="A89" s="8" t="str">
        <f>VLOOKUP("&lt;Zeilentitel_41&gt;",Uebersetzungen!$B$4:$E$48,Uebersetzungen!$B$2+1,FALSE)</f>
        <v>Vals</v>
      </c>
      <c r="B89" s="62"/>
      <c r="C89" s="47">
        <v>0.54693877551020409</v>
      </c>
      <c r="D89" s="47">
        <v>0.67515833919774804</v>
      </c>
      <c r="E89" s="47">
        <v>0.44832126398946676</v>
      </c>
      <c r="F89" s="47">
        <v>0.28027210884353743</v>
      </c>
      <c r="G89" s="47">
        <v>0.24884792626728111</v>
      </c>
      <c r="H89" s="47">
        <v>0.30408163265306121</v>
      </c>
      <c r="I89" s="47">
        <v>0.45003291639236342</v>
      </c>
      <c r="J89" s="47">
        <v>0.48255431204739963</v>
      </c>
      <c r="K89" s="47">
        <v>0.41374149659863946</v>
      </c>
      <c r="L89" s="47">
        <v>0.44489795918367347</v>
      </c>
      <c r="M89" s="47">
        <v>0.31455782312925168</v>
      </c>
      <c r="N89" s="48">
        <v>0.48584595128373931</v>
      </c>
    </row>
    <row r="90" spans="1:14" ht="24" customHeight="1" x14ac:dyDescent="0.2">
      <c r="A90" s="8" t="str">
        <f>VLOOKUP("&lt;Zeilentitel_42&gt;",Uebersetzungen!$B$4:$E$48,Uebersetzungen!$B$2+1,FALSE)</f>
        <v>Viamala</v>
      </c>
      <c r="B90" s="63"/>
      <c r="C90" s="47">
        <v>0.26954620010934938</v>
      </c>
      <c r="D90" s="47">
        <v>0.44257744009351258</v>
      </c>
      <c r="E90" s="47">
        <v>0.2497266265718972</v>
      </c>
      <c r="F90" s="47">
        <v>0.1596045197740113</v>
      </c>
      <c r="G90" s="47">
        <v>0.21808365226899945</v>
      </c>
      <c r="H90" s="47">
        <v>0.36468926553672315</v>
      </c>
      <c r="I90" s="47">
        <v>0.52569710224166211</v>
      </c>
      <c r="J90" s="47">
        <v>0.49063696008747948</v>
      </c>
      <c r="K90" s="47">
        <v>0.43283475783475783</v>
      </c>
      <c r="L90" s="47">
        <v>0.27109181141439204</v>
      </c>
      <c r="M90" s="47">
        <v>0.13952991452991453</v>
      </c>
      <c r="N90" s="48">
        <v>0.21098704163220292</v>
      </c>
    </row>
    <row r="91" spans="1:14" ht="24" customHeight="1" thickBot="1" x14ac:dyDescent="0.25">
      <c r="A91" s="9" t="str">
        <f>VLOOKUP("&lt;Zeilentitel_43&gt;",Uebersetzungen!$B$4:$E$48,Uebersetzungen!$B$2+1,FALSE)</f>
        <v>Graubünden</v>
      </c>
      <c r="B91" s="64"/>
      <c r="C91" s="49">
        <v>0.58268729832230814</v>
      </c>
      <c r="D91" s="49">
        <v>0.65492229783744682</v>
      </c>
      <c r="E91" s="49">
        <v>0.46829468530307883</v>
      </c>
      <c r="F91" s="49">
        <v>0.17787428956600335</v>
      </c>
      <c r="G91" s="49">
        <v>0.14319248826291081</v>
      </c>
      <c r="H91" s="49">
        <v>0.33200986474273547</v>
      </c>
      <c r="I91" s="49">
        <v>0.51204142112613682</v>
      </c>
      <c r="J91" s="49">
        <v>0.50784577598344238</v>
      </c>
      <c r="K91" s="49">
        <v>0.42174923547400611</v>
      </c>
      <c r="L91" s="49">
        <v>0.28335500495775517</v>
      </c>
      <c r="M91" s="49">
        <v>0.1085861608581557</v>
      </c>
      <c r="N91" s="50">
        <v>0.42920361880565133</v>
      </c>
    </row>
    <row r="92" spans="1:14" ht="24" customHeight="1" thickBot="1" x14ac:dyDescent="0.25">
      <c r="A92" s="43"/>
      <c r="B92" s="44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4"/>
      <c r="N92" s="14"/>
    </row>
    <row r="93" spans="1:14" ht="24" customHeight="1" thickBot="1" x14ac:dyDescent="0.25">
      <c r="A93" s="43"/>
      <c r="B93" s="59" t="str">
        <f>VLOOKUP("&lt;Zeilentitel_44&gt;",Uebersetzungen!$B$4:$E$48,Uebersetzungen!$B$2+1,FALSE)</f>
        <v>Farbskala:</v>
      </c>
      <c r="C93" s="54" t="s">
        <v>144</v>
      </c>
      <c r="D93" s="55" t="s">
        <v>139</v>
      </c>
      <c r="E93" s="56" t="s">
        <v>140</v>
      </c>
      <c r="F93" s="57" t="s">
        <v>142</v>
      </c>
      <c r="G93" s="58" t="s">
        <v>141</v>
      </c>
      <c r="H93" s="67" t="s">
        <v>143</v>
      </c>
      <c r="I93" s="13"/>
      <c r="J93" s="13"/>
      <c r="K93" s="13"/>
      <c r="L93" s="13"/>
      <c r="M93" s="14"/>
      <c r="N93" s="14"/>
    </row>
    <row r="94" spans="1:14" ht="24" customHeight="1" x14ac:dyDescent="0.2">
      <c r="A94" s="43"/>
      <c r="B94" s="44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4"/>
      <c r="N94" s="14"/>
    </row>
    <row r="95" spans="1:14" x14ac:dyDescent="0.2">
      <c r="A95" s="51" t="str">
        <f>VLOOKUP("&lt;Legende_1&gt;",Uebersetzungen!$B$4:$E$56,Uebersetzungen!$B$2+1,FALSE)</f>
        <v>Aktuelle Zuordnung der politischen Gemeinden zu Destinationen:</v>
      </c>
      <c r="B95" s="12"/>
      <c r="C95" s="10"/>
      <c r="D95" s="13"/>
      <c r="E95" s="66" t="s">
        <v>133</v>
      </c>
      <c r="F95" s="13"/>
      <c r="G95" s="13"/>
      <c r="H95" s="13"/>
      <c r="I95" s="13"/>
      <c r="J95" s="13"/>
      <c r="K95" s="13"/>
      <c r="L95" s="13"/>
      <c r="M95" s="14"/>
      <c r="N95" s="15"/>
    </row>
    <row r="96" spans="1:14" x14ac:dyDescent="0.2">
      <c r="A96" s="51" t="str">
        <f>VLOOKUP("&lt;Legende_3&gt;",Uebersetzungen!$B$4:$E$56,Uebersetzungen!$B$2+1,FALSE)</f>
        <v>* Berechnungsgrundlage: Bruttozimmerauslastung = Zimmernächte / (Zimmer * Anzahl Kalendertage)</v>
      </c>
      <c r="B96" s="12"/>
      <c r="C96" s="10"/>
      <c r="D96" s="13"/>
      <c r="F96" s="13"/>
      <c r="G96" s="13"/>
      <c r="H96" s="13"/>
      <c r="I96" s="13"/>
      <c r="J96" s="13"/>
      <c r="K96" s="13"/>
      <c r="L96" s="13"/>
      <c r="M96" s="14"/>
      <c r="N96" s="15"/>
    </row>
    <row r="97" spans="1:14" x14ac:dyDescent="0.2">
      <c r="A97" s="51"/>
      <c r="B97" s="12"/>
      <c r="C97" s="10"/>
      <c r="D97" s="13"/>
      <c r="F97" s="13"/>
      <c r="G97" s="13"/>
      <c r="H97" s="13"/>
      <c r="I97" s="13"/>
      <c r="J97" s="13"/>
      <c r="K97" s="13"/>
      <c r="L97" s="13"/>
      <c r="M97" s="14"/>
      <c r="N97" s="15"/>
    </row>
    <row r="98" spans="1:14" x14ac:dyDescent="0.2">
      <c r="A98" s="4" t="str">
        <f>VLOOKUP("&lt;Quelle_1&gt;",Uebersetzungen!$B$4:$E$56,Uebersetzungen!$B$2+1,FALSE)</f>
        <v>Quelle: BFS (HESTA)</v>
      </c>
    </row>
    <row r="99" spans="1:14" x14ac:dyDescent="0.2">
      <c r="A99" s="4" t="str">
        <f>VLOOKUP("&lt;Legende_2&gt;",Uebersetzungen!$B$4:$E$56,Uebersetzungen!$B$2+1,FALSE)</f>
        <v>Kontakt: Luzius Stricker, 081 257 23 74, luzius.stricker@awt.gr.ch</v>
      </c>
    </row>
    <row r="100" spans="1:14" x14ac:dyDescent="0.2">
      <c r="A100" s="11" t="str">
        <f>VLOOKUP("&lt;Aktualisierung&gt;",Uebersetzungen!$B$4:$E$95,Uebersetzungen!$B$2+1,FALSE)</f>
        <v>Letztmals aktualisiert am: 08.12.2025</v>
      </c>
    </row>
    <row r="102" spans="1:14" x14ac:dyDescent="0.2">
      <c r="A102" s="4" t="s">
        <v>21</v>
      </c>
    </row>
  </sheetData>
  <sheetProtection sheet="1" objects="1" scenarios="1"/>
  <mergeCells count="1">
    <mergeCell ref="A7:D7"/>
  </mergeCells>
  <conditionalFormatting sqref="C33">
    <cfRule type="colorScale" priority="24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conditionalFormatting sqref="C63">
    <cfRule type="colorScale" priority="4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conditionalFormatting sqref="C93">
    <cfRule type="colorScale" priority="2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conditionalFormatting sqref="C13:N31 C43:N61 C73:N91">
    <cfRule type="cellIs" dxfId="5" priority="9" operator="between">
      <formula>0.7</formula>
      <formula>1</formula>
    </cfRule>
    <cfRule type="cellIs" dxfId="4" priority="10" operator="between">
      <formula>0.6</formula>
      <formula>"&lt;0.7"</formula>
    </cfRule>
    <cfRule type="cellIs" dxfId="3" priority="11" operator="between">
      <formula>0.5</formula>
      <formula>"&lt;0.6"</formula>
    </cfRule>
    <cfRule type="cellIs" dxfId="2" priority="12" operator="between">
      <formula>0.4</formula>
      <formula>"&lt;0.5"</formula>
    </cfRule>
    <cfRule type="cellIs" dxfId="1" priority="13" operator="between">
      <formula>0.3</formula>
      <formula>"&lt;0.4"</formula>
    </cfRule>
    <cfRule type="cellIs" dxfId="0" priority="14" operator="between">
      <formula>0.01</formula>
      <formula>"&lt;0.3"</formula>
    </cfRule>
  </conditionalFormatting>
  <conditionalFormatting sqref="C43:N61">
    <cfRule type="colorScale" priority="20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conditionalFormatting sqref="C73:N91">
    <cfRule type="colorScale" priority="17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conditionalFormatting sqref="E33">
    <cfRule type="colorScale" priority="23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conditionalFormatting sqref="E63">
    <cfRule type="colorScale" priority="3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conditionalFormatting sqref="E93">
    <cfRule type="colorScale" priority="1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hyperlinks>
    <hyperlink ref="E35" r:id="rId1" xr:uid="{00000000-0004-0000-0000-000000000000}"/>
    <hyperlink ref="E95" r:id="rId2" xr:uid="{00000000-0004-0000-0000-000001000000}"/>
    <hyperlink ref="E65" r:id="rId3" xr:uid="{00000000-0004-0000-0000-000002000000}"/>
  </hyperlinks>
  <pageMargins left="0.70866141732283472" right="0.70866141732283472" top="0.78740157480314965" bottom="0.78740157480314965" header="0.31496062992125984" footer="0.31496062992125984"/>
  <pageSetup paperSize="9" scale="64" fitToHeight="2" orientation="landscape" r:id="rId4"/>
  <rowBreaks count="1" manualBreakCount="1">
    <brk id="68" max="13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7" name="Option Button 1">
              <controlPr defaultSize="0" autoFill="0" autoLine="0" autoPict="0">
                <anchor moveWithCells="1">
                  <from>
                    <xdr:col>5</xdr:col>
                    <xdr:colOff>723900</xdr:colOff>
                    <xdr:row>1</xdr:row>
                    <xdr:rowOff>114300</xdr:rowOff>
                  </from>
                  <to>
                    <xdr:col>7</xdr:col>
                    <xdr:colOff>28575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8" name="Option Button 2">
              <controlPr defaultSize="0" autoFill="0" autoLine="0" autoPict="0">
                <anchor moveWithCells="1">
                  <from>
                    <xdr:col>5</xdr:col>
                    <xdr:colOff>723900</xdr:colOff>
                    <xdr:row>2</xdr:row>
                    <xdr:rowOff>104775</xdr:rowOff>
                  </from>
                  <to>
                    <xdr:col>7</xdr:col>
                    <xdr:colOff>409575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9" name="Option Button 3">
              <controlPr defaultSize="0" autoFill="0" autoLine="0" autoPict="0">
                <anchor moveWithCells="1">
                  <from>
                    <xdr:col>5</xdr:col>
                    <xdr:colOff>723900</xdr:colOff>
                    <xdr:row>3</xdr:row>
                    <xdr:rowOff>66675</xdr:rowOff>
                  </from>
                  <to>
                    <xdr:col>7</xdr:col>
                    <xdr:colOff>28575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F56"/>
  <sheetViews>
    <sheetView topLeftCell="A14" workbookViewId="0">
      <selection activeCell="G54" sqref="G54"/>
    </sheetView>
  </sheetViews>
  <sheetFormatPr baseColWidth="10" defaultColWidth="12.5703125" defaultRowHeight="12.75" x14ac:dyDescent="0.2"/>
  <cols>
    <col min="1" max="1" width="8.5703125" style="18" bestFit="1" customWidth="1"/>
    <col min="2" max="2" width="17.7109375" style="18" bestFit="1" customWidth="1"/>
    <col min="3" max="3" width="53" style="18" customWidth="1"/>
    <col min="4" max="4" width="47.5703125" style="18" bestFit="1" customWidth="1"/>
    <col min="5" max="5" width="42.28515625" style="18" customWidth="1"/>
    <col min="6" max="16384" width="12.5703125" style="18"/>
  </cols>
  <sheetData>
    <row r="1" spans="1:6" x14ac:dyDescent="0.2">
      <c r="A1" s="22" t="s">
        <v>22</v>
      </c>
      <c r="B1" s="22" t="s">
        <v>23</v>
      </c>
      <c r="C1" s="22" t="s">
        <v>24</v>
      </c>
      <c r="D1" s="22" t="s">
        <v>25</v>
      </c>
      <c r="E1" s="22" t="s">
        <v>26</v>
      </c>
      <c r="F1" s="21"/>
    </row>
    <row r="2" spans="1:6" ht="13.5" thickBot="1" x14ac:dyDescent="0.25">
      <c r="A2" s="20" t="s">
        <v>27</v>
      </c>
      <c r="B2" s="23">
        <v>1</v>
      </c>
      <c r="C2" s="23"/>
      <c r="D2" s="21"/>
      <c r="E2" s="21"/>
      <c r="F2" s="21"/>
    </row>
    <row r="3" spans="1:6" s="31" customFormat="1" ht="26.25" thickBot="1" x14ac:dyDescent="0.25">
      <c r="A3" s="29"/>
      <c r="B3" s="30" t="s">
        <v>80</v>
      </c>
      <c r="C3" s="33">
        <v>2025</v>
      </c>
      <c r="D3" s="32">
        <f>C3-2000</f>
        <v>25</v>
      </c>
    </row>
    <row r="4" spans="1:6" x14ac:dyDescent="0.2">
      <c r="A4" s="20"/>
      <c r="B4" s="34" t="s">
        <v>28</v>
      </c>
      <c r="C4" s="34" t="s">
        <v>29</v>
      </c>
      <c r="D4" s="34" t="s">
        <v>30</v>
      </c>
      <c r="E4" s="34" t="s">
        <v>31</v>
      </c>
      <c r="F4" s="21"/>
    </row>
    <row r="5" spans="1:6" x14ac:dyDescent="0.2">
      <c r="A5" s="20"/>
      <c r="B5" s="34" t="s">
        <v>81</v>
      </c>
      <c r="C5" s="34" t="s">
        <v>85</v>
      </c>
      <c r="D5" s="34" t="s">
        <v>106</v>
      </c>
      <c r="E5" s="34" t="s">
        <v>107</v>
      </c>
      <c r="F5" s="21"/>
    </row>
    <row r="6" spans="1:6" x14ac:dyDescent="0.2">
      <c r="A6" s="20"/>
      <c r="B6" s="34" t="s">
        <v>86</v>
      </c>
      <c r="C6" s="34" t="s">
        <v>82</v>
      </c>
      <c r="D6" s="34" t="s">
        <v>83</v>
      </c>
      <c r="E6" s="34" t="s">
        <v>84</v>
      </c>
      <c r="F6" s="21"/>
    </row>
    <row r="7" spans="1:6" ht="25.5" x14ac:dyDescent="0.2">
      <c r="A7" s="20" t="s">
        <v>32</v>
      </c>
      <c r="B7" s="34" t="s">
        <v>45</v>
      </c>
      <c r="C7" s="34" t="str">
        <f>"Hotel- und Kurbetriebe: Bruttozimmerauslastung* "&amp;$C$3&amp;""</f>
        <v>Hotel- und Kurbetriebe: Bruttozimmerauslastung* 2025</v>
      </c>
      <c r="D7" s="34" t="str">
        <f>"Manaschis d' hotel e da cura: occupaziun da las chombras brutta* en il "&amp;$C$3&amp;""</f>
        <v>Manaschis d' hotel e da cura: occupaziun da las chombras brutta* en il 2025</v>
      </c>
      <c r="E7" s="34" t="str">
        <f>"Alberghi e stabilimenti di cura: occupazione delle camere lorda* nel "&amp;$C$3&amp;""</f>
        <v>Alberghi e stabilimenti di cura: occupazione delle camere lorda* nel 2025</v>
      </c>
      <c r="F7" s="21"/>
    </row>
    <row r="8" spans="1:6" ht="25.5" x14ac:dyDescent="0.2">
      <c r="A8" s="20"/>
      <c r="B8" s="34" t="s">
        <v>46</v>
      </c>
      <c r="C8" s="34" t="str">
        <f>"Hotel- und Kurbetriebe: Bruttozimmerauslastung* "&amp;$C$3-1&amp;""</f>
        <v>Hotel- und Kurbetriebe: Bruttozimmerauslastung* 2024</v>
      </c>
      <c r="D8" s="34" t="str">
        <f>"Manaschis d' hotel e da cura: occupaziun da las chombras brutta* en il "&amp;$C$3-1&amp;""</f>
        <v>Manaschis d' hotel e da cura: occupaziun da las chombras brutta* en il 2024</v>
      </c>
      <c r="E8" s="34" t="str">
        <f>"Alberghi e stabilimenti di cura: occupazione delle camere lorda* nel "&amp;$C$3-1&amp;""</f>
        <v>Alberghi e stabilimenti di cura: occupazione delle camere lorda* nel 2024</v>
      </c>
      <c r="F8" s="21"/>
    </row>
    <row r="9" spans="1:6" ht="25.5" x14ac:dyDescent="0.2">
      <c r="A9" s="20"/>
      <c r="B9" s="34" t="s">
        <v>47</v>
      </c>
      <c r="C9" s="34" t="str">
        <f>"Hotel- und Kurbetriebe: Bruttozimmerauslastung* "&amp;$C$3-2&amp;""</f>
        <v>Hotel- und Kurbetriebe: Bruttozimmerauslastung* 2023</v>
      </c>
      <c r="D9" s="34" t="str">
        <f>"Manaschis d' hotel e da cura: occupaziun da las chombras brutta* en il "&amp;$C$3-2&amp;""</f>
        <v>Manaschis d' hotel e da cura: occupaziun da las chombras brutta* en il 2023</v>
      </c>
      <c r="E9" s="34" t="str">
        <f>"Alberghi e stabilimenti di cura: occupazione delle camere lorda* nel "&amp;$C$3-2&amp;""</f>
        <v>Alberghi e stabilimenti di cura: occupazione delle camere lorda* nel 2023</v>
      </c>
      <c r="F9" s="21"/>
    </row>
    <row r="10" spans="1:6" x14ac:dyDescent="0.2">
      <c r="A10" s="20"/>
      <c r="B10" s="20"/>
      <c r="C10" s="20"/>
      <c r="D10" s="20"/>
      <c r="E10" s="20"/>
      <c r="F10" s="21"/>
    </row>
    <row r="11" spans="1:6" x14ac:dyDescent="0.2">
      <c r="A11" s="20" t="s">
        <v>33</v>
      </c>
      <c r="B11" s="34" t="s">
        <v>34</v>
      </c>
      <c r="C11" s="34" t="s">
        <v>92</v>
      </c>
      <c r="D11" s="34" t="s">
        <v>108</v>
      </c>
      <c r="E11" s="34" t="s">
        <v>109</v>
      </c>
      <c r="F11" s="21"/>
    </row>
    <row r="12" spans="1:6" x14ac:dyDescent="0.2">
      <c r="A12" s="20"/>
      <c r="B12" s="34" t="s">
        <v>35</v>
      </c>
      <c r="C12" s="34" t="s">
        <v>93</v>
      </c>
      <c r="D12" s="34" t="s">
        <v>122</v>
      </c>
      <c r="E12" s="34" t="s">
        <v>114</v>
      </c>
      <c r="F12" s="21"/>
    </row>
    <row r="13" spans="1:6" x14ac:dyDescent="0.2">
      <c r="A13" s="20"/>
      <c r="B13" s="34" t="s">
        <v>36</v>
      </c>
      <c r="C13" s="34" t="s">
        <v>94</v>
      </c>
      <c r="D13" s="34" t="s">
        <v>123</v>
      </c>
      <c r="E13" s="34" t="s">
        <v>115</v>
      </c>
      <c r="F13" s="21"/>
    </row>
    <row r="14" spans="1:6" x14ac:dyDescent="0.2">
      <c r="A14" s="20"/>
      <c r="B14" s="34" t="s">
        <v>65</v>
      </c>
      <c r="C14" s="34" t="s">
        <v>95</v>
      </c>
      <c r="D14" s="34" t="s">
        <v>124</v>
      </c>
      <c r="E14" s="35" t="s">
        <v>110</v>
      </c>
      <c r="F14" s="21"/>
    </row>
    <row r="15" spans="1:6" x14ac:dyDescent="0.2">
      <c r="A15" s="20"/>
      <c r="B15" s="34" t="s">
        <v>66</v>
      </c>
      <c r="C15" s="34" t="s">
        <v>96</v>
      </c>
      <c r="D15" s="34" t="s">
        <v>125</v>
      </c>
      <c r="E15" s="34" t="s">
        <v>116</v>
      </c>
      <c r="F15" s="21"/>
    </row>
    <row r="16" spans="1:6" x14ac:dyDescent="0.2">
      <c r="A16" s="20"/>
      <c r="B16" s="34" t="s">
        <v>67</v>
      </c>
      <c r="C16" s="34" t="s">
        <v>97</v>
      </c>
      <c r="D16" s="34" t="s">
        <v>126</v>
      </c>
      <c r="E16" s="34" t="s">
        <v>111</v>
      </c>
      <c r="F16" s="21"/>
    </row>
    <row r="17" spans="1:6" x14ac:dyDescent="0.2">
      <c r="A17" s="20"/>
      <c r="B17" s="34" t="s">
        <v>68</v>
      </c>
      <c r="C17" s="34" t="s">
        <v>98</v>
      </c>
      <c r="D17" s="34" t="s">
        <v>127</v>
      </c>
      <c r="E17" s="34" t="s">
        <v>117</v>
      </c>
      <c r="F17" s="21"/>
    </row>
    <row r="18" spans="1:6" x14ac:dyDescent="0.2">
      <c r="A18" s="20"/>
      <c r="B18" s="34" t="s">
        <v>69</v>
      </c>
      <c r="C18" s="34" t="s">
        <v>99</v>
      </c>
      <c r="D18" s="34" t="s">
        <v>128</v>
      </c>
      <c r="E18" s="34" t="s">
        <v>112</v>
      </c>
      <c r="F18" s="21"/>
    </row>
    <row r="19" spans="1:6" x14ac:dyDescent="0.2">
      <c r="A19" s="20"/>
      <c r="B19" s="34" t="s">
        <v>87</v>
      </c>
      <c r="C19" s="34" t="s">
        <v>100</v>
      </c>
      <c r="D19" s="34" t="s">
        <v>130</v>
      </c>
      <c r="E19" s="34" t="s">
        <v>118</v>
      </c>
      <c r="F19" s="21"/>
    </row>
    <row r="20" spans="1:6" x14ac:dyDescent="0.2">
      <c r="A20" s="20"/>
      <c r="B20" s="34" t="s">
        <v>88</v>
      </c>
      <c r="C20" s="34" t="s">
        <v>101</v>
      </c>
      <c r="D20" s="34" t="s">
        <v>101</v>
      </c>
      <c r="E20" s="34" t="s">
        <v>113</v>
      </c>
      <c r="F20" s="21"/>
    </row>
    <row r="21" spans="1:6" x14ac:dyDescent="0.2">
      <c r="A21" s="20"/>
      <c r="B21" s="34" t="s">
        <v>89</v>
      </c>
      <c r="C21" s="34" t="s">
        <v>102</v>
      </c>
      <c r="D21" s="34" t="s">
        <v>129</v>
      </c>
      <c r="E21" s="34" t="s">
        <v>119</v>
      </c>
      <c r="F21" s="21"/>
    </row>
    <row r="22" spans="1:6" x14ac:dyDescent="0.2">
      <c r="A22" s="20"/>
      <c r="B22" s="34" t="s">
        <v>90</v>
      </c>
      <c r="C22" s="34" t="s">
        <v>103</v>
      </c>
      <c r="D22" s="34" t="s">
        <v>103</v>
      </c>
      <c r="E22" s="34" t="s">
        <v>120</v>
      </c>
      <c r="F22" s="21"/>
    </row>
    <row r="23" spans="1:6" x14ac:dyDescent="0.2">
      <c r="A23" s="20"/>
      <c r="B23" s="34" t="s">
        <v>91</v>
      </c>
      <c r="C23" s="34" t="s">
        <v>104</v>
      </c>
      <c r="D23" s="34" t="s">
        <v>134</v>
      </c>
      <c r="E23" s="34" t="s">
        <v>121</v>
      </c>
      <c r="F23" s="21"/>
    </row>
    <row r="24" spans="1:6" x14ac:dyDescent="0.2">
      <c r="A24" s="20"/>
      <c r="B24" s="34"/>
      <c r="C24" s="34"/>
      <c r="D24" s="34"/>
      <c r="E24" s="34"/>
      <c r="F24" s="21"/>
    </row>
    <row r="25" spans="1:6" x14ac:dyDescent="0.2">
      <c r="A25" s="20"/>
      <c r="B25" s="34"/>
      <c r="C25" s="34"/>
      <c r="D25" s="34"/>
      <c r="E25" s="34"/>
      <c r="F25" s="21"/>
    </row>
    <row r="26" spans="1:6" x14ac:dyDescent="0.2">
      <c r="A26" s="20"/>
      <c r="C26" s="34"/>
      <c r="D26" s="34"/>
      <c r="E26" s="35"/>
      <c r="F26" s="21"/>
    </row>
    <row r="27" spans="1:6" x14ac:dyDescent="0.2">
      <c r="A27" s="20"/>
      <c r="B27" s="21"/>
      <c r="C27" s="21"/>
      <c r="D27" s="21"/>
      <c r="E27" s="21"/>
      <c r="F27" s="21"/>
    </row>
    <row r="28" spans="1:6" x14ac:dyDescent="0.2">
      <c r="A28" s="21" t="s">
        <v>32</v>
      </c>
      <c r="B28" s="18" t="s">
        <v>37</v>
      </c>
      <c r="C28" s="18" t="s">
        <v>13</v>
      </c>
      <c r="D28" s="18" t="s">
        <v>76</v>
      </c>
      <c r="E28" s="18" t="s">
        <v>76</v>
      </c>
      <c r="F28" s="21"/>
    </row>
    <row r="29" spans="1:6" x14ac:dyDescent="0.2">
      <c r="A29" s="21"/>
      <c r="B29" s="18" t="s">
        <v>38</v>
      </c>
      <c r="C29" s="18" t="s">
        <v>7</v>
      </c>
      <c r="D29" s="18" t="s">
        <v>7</v>
      </c>
      <c r="E29" s="18" t="s">
        <v>7</v>
      </c>
      <c r="F29" s="21"/>
    </row>
    <row r="30" spans="1:6" x14ac:dyDescent="0.2">
      <c r="A30" s="21"/>
      <c r="B30" s="18" t="s">
        <v>39</v>
      </c>
      <c r="C30" s="18" t="s">
        <v>15</v>
      </c>
      <c r="D30" s="18" t="s">
        <v>15</v>
      </c>
      <c r="E30" s="18" t="s">
        <v>15</v>
      </c>
      <c r="F30" s="21"/>
    </row>
    <row r="31" spans="1:6" x14ac:dyDescent="0.2">
      <c r="A31" s="21"/>
      <c r="B31" s="18" t="s">
        <v>48</v>
      </c>
      <c r="C31" s="18" t="s">
        <v>12</v>
      </c>
      <c r="D31" s="18" t="s">
        <v>77</v>
      </c>
      <c r="E31" s="18" t="s">
        <v>77</v>
      </c>
      <c r="F31" s="21"/>
    </row>
    <row r="32" spans="1:6" x14ac:dyDescent="0.2">
      <c r="A32" s="21"/>
      <c r="B32" s="18" t="s">
        <v>49</v>
      </c>
      <c r="C32" s="18" t="s">
        <v>2</v>
      </c>
      <c r="D32" s="18" t="s">
        <v>2</v>
      </c>
      <c r="E32" s="18" t="s">
        <v>2</v>
      </c>
      <c r="F32" s="21"/>
    </row>
    <row r="33" spans="1:6" x14ac:dyDescent="0.2">
      <c r="A33" s="21"/>
      <c r="B33" s="18" t="s">
        <v>50</v>
      </c>
      <c r="C33" s="18" t="s">
        <v>0</v>
      </c>
      <c r="D33" s="18" t="s">
        <v>0</v>
      </c>
      <c r="E33" s="18" t="s">
        <v>0</v>
      </c>
      <c r="F33" s="21"/>
    </row>
    <row r="34" spans="1:6" x14ac:dyDescent="0.2">
      <c r="A34" s="21"/>
      <c r="B34" s="18" t="s">
        <v>51</v>
      </c>
      <c r="C34" s="18" t="s">
        <v>8</v>
      </c>
      <c r="D34" s="18" t="s">
        <v>8</v>
      </c>
      <c r="E34" s="18" t="s">
        <v>8</v>
      </c>
      <c r="F34" s="21"/>
    </row>
    <row r="35" spans="1:6" x14ac:dyDescent="0.2">
      <c r="A35" s="21"/>
      <c r="B35" s="18" t="s">
        <v>52</v>
      </c>
      <c r="C35" s="18" t="s">
        <v>17</v>
      </c>
      <c r="D35" s="18" t="s">
        <v>17</v>
      </c>
      <c r="E35" s="18" t="s">
        <v>17</v>
      </c>
      <c r="F35" s="21"/>
    </row>
    <row r="36" spans="1:6" x14ac:dyDescent="0.2">
      <c r="A36" s="21"/>
      <c r="B36" s="18" t="s">
        <v>53</v>
      </c>
      <c r="C36" s="18" t="s">
        <v>16</v>
      </c>
      <c r="D36" s="18" t="s">
        <v>16</v>
      </c>
      <c r="E36" s="18" t="s">
        <v>16</v>
      </c>
      <c r="F36" s="21"/>
    </row>
    <row r="37" spans="1:6" x14ac:dyDescent="0.2">
      <c r="A37" s="21"/>
      <c r="B37" s="18" t="s">
        <v>54</v>
      </c>
      <c r="C37" s="18" t="s">
        <v>1</v>
      </c>
      <c r="D37" s="18" t="s">
        <v>1</v>
      </c>
      <c r="E37" s="18" t="s">
        <v>1</v>
      </c>
      <c r="F37" s="21"/>
    </row>
    <row r="38" spans="1:6" x14ac:dyDescent="0.2">
      <c r="A38" s="21"/>
      <c r="B38" s="18" t="s">
        <v>55</v>
      </c>
      <c r="C38" s="18" t="s">
        <v>3</v>
      </c>
      <c r="D38" s="18" t="s">
        <v>3</v>
      </c>
      <c r="E38" s="18" t="s">
        <v>3</v>
      </c>
      <c r="F38" s="21"/>
    </row>
    <row r="39" spans="1:6" x14ac:dyDescent="0.2">
      <c r="A39" s="21"/>
      <c r="B39" s="18" t="s">
        <v>56</v>
      </c>
      <c r="C39" s="18" t="s">
        <v>4</v>
      </c>
      <c r="D39" s="18" t="s">
        <v>4</v>
      </c>
      <c r="E39" s="18" t="s">
        <v>4</v>
      </c>
      <c r="F39" s="21"/>
    </row>
    <row r="40" spans="1:6" x14ac:dyDescent="0.2">
      <c r="A40" s="21"/>
      <c r="B40" s="18" t="s">
        <v>57</v>
      </c>
      <c r="C40" s="18" t="s">
        <v>11</v>
      </c>
      <c r="D40" s="18" t="s">
        <v>11</v>
      </c>
      <c r="E40" s="18" t="s">
        <v>11</v>
      </c>
      <c r="F40" s="21"/>
    </row>
    <row r="41" spans="1:6" x14ac:dyDescent="0.2">
      <c r="A41" s="21"/>
      <c r="B41" s="18" t="s">
        <v>58</v>
      </c>
      <c r="C41" s="18" t="s">
        <v>20</v>
      </c>
      <c r="D41" s="18" t="s">
        <v>20</v>
      </c>
      <c r="E41" s="18" t="s">
        <v>20</v>
      </c>
      <c r="F41" s="21"/>
    </row>
    <row r="42" spans="1:6" x14ac:dyDescent="0.2">
      <c r="A42" s="21"/>
      <c r="B42" s="18" t="s">
        <v>59</v>
      </c>
      <c r="C42" s="18" t="s">
        <v>14</v>
      </c>
      <c r="D42" s="18" t="s">
        <v>14</v>
      </c>
      <c r="E42" s="18" t="s">
        <v>14</v>
      </c>
      <c r="F42" s="21"/>
    </row>
    <row r="43" spans="1:6" x14ac:dyDescent="0.2">
      <c r="A43" s="21"/>
      <c r="B43" s="18" t="s">
        <v>60</v>
      </c>
      <c r="C43" s="18" t="s">
        <v>5</v>
      </c>
      <c r="D43" s="18" t="s">
        <v>5</v>
      </c>
      <c r="E43" s="18" t="s">
        <v>5</v>
      </c>
      <c r="F43" s="21"/>
    </row>
    <row r="44" spans="1:6" x14ac:dyDescent="0.2">
      <c r="A44" s="21"/>
      <c r="B44" s="18" t="s">
        <v>61</v>
      </c>
      <c r="C44" s="18" t="s">
        <v>9</v>
      </c>
      <c r="D44" s="18" t="s">
        <v>9</v>
      </c>
      <c r="E44" s="18" t="s">
        <v>9</v>
      </c>
      <c r="F44" s="21"/>
    </row>
    <row r="45" spans="1:6" x14ac:dyDescent="0.2">
      <c r="A45" s="21"/>
      <c r="B45" s="18" t="s">
        <v>62</v>
      </c>
      <c r="C45" s="18" t="s">
        <v>6</v>
      </c>
      <c r="D45" s="18" t="s">
        <v>6</v>
      </c>
      <c r="E45" s="18" t="s">
        <v>6</v>
      </c>
      <c r="F45" s="21"/>
    </row>
    <row r="46" spans="1:6" x14ac:dyDescent="0.2">
      <c r="A46" s="21"/>
      <c r="B46" s="18" t="s">
        <v>63</v>
      </c>
      <c r="C46" s="18" t="s">
        <v>10</v>
      </c>
      <c r="D46" s="18" t="s">
        <v>74</v>
      </c>
      <c r="E46" s="18" t="s">
        <v>75</v>
      </c>
      <c r="F46" s="21"/>
    </row>
    <row r="47" spans="1:6" x14ac:dyDescent="0.2">
      <c r="A47" s="21"/>
      <c r="B47" s="18" t="s">
        <v>64</v>
      </c>
      <c r="C47" s="18" t="s">
        <v>105</v>
      </c>
      <c r="D47" s="18" t="s">
        <v>131</v>
      </c>
      <c r="E47" s="18" t="s">
        <v>132</v>
      </c>
      <c r="F47" s="21"/>
    </row>
    <row r="48" spans="1:6" x14ac:dyDescent="0.2">
      <c r="A48" s="21"/>
      <c r="B48" s="21"/>
      <c r="C48" s="21"/>
      <c r="D48" s="21"/>
      <c r="E48" s="21"/>
      <c r="F48" s="21"/>
    </row>
    <row r="49" spans="1:6" ht="25.5" x14ac:dyDescent="0.2">
      <c r="A49" s="20"/>
      <c r="B49" s="18" t="s">
        <v>40</v>
      </c>
      <c r="C49" s="18" t="s">
        <v>18</v>
      </c>
      <c r="D49" s="18" t="s">
        <v>70</v>
      </c>
      <c r="E49" s="24" t="s">
        <v>73</v>
      </c>
      <c r="F49" s="21"/>
    </row>
    <row r="50" spans="1:6" ht="25.5" x14ac:dyDescent="0.2">
      <c r="A50" s="21"/>
      <c r="B50" s="18" t="s">
        <v>41</v>
      </c>
      <c r="C50" s="18" t="s">
        <v>19</v>
      </c>
      <c r="D50" s="18" t="s">
        <v>71</v>
      </c>
      <c r="E50" s="24" t="s">
        <v>72</v>
      </c>
      <c r="F50" s="21"/>
    </row>
    <row r="51" spans="1:6" ht="38.25" x14ac:dyDescent="0.2">
      <c r="A51" s="21"/>
      <c r="B51" s="18" t="s">
        <v>135</v>
      </c>
      <c r="C51" s="34" t="s">
        <v>136</v>
      </c>
      <c r="D51" s="34" t="s">
        <v>137</v>
      </c>
      <c r="E51" s="34" t="s">
        <v>138</v>
      </c>
      <c r="F51" s="21"/>
    </row>
    <row r="52" spans="1:6" x14ac:dyDescent="0.2">
      <c r="A52" s="21"/>
      <c r="B52" s="21"/>
      <c r="C52" s="21"/>
      <c r="D52" s="21"/>
      <c r="E52" s="21"/>
      <c r="F52" s="21"/>
    </row>
    <row r="53" spans="1:6" x14ac:dyDescent="0.2">
      <c r="A53" s="21" t="s">
        <v>33</v>
      </c>
      <c r="B53" s="18" t="s">
        <v>42</v>
      </c>
      <c r="C53" s="18" t="s">
        <v>44</v>
      </c>
      <c r="D53" s="18" t="s">
        <v>78</v>
      </c>
      <c r="E53" s="18" t="s">
        <v>79</v>
      </c>
      <c r="F53" s="21"/>
    </row>
    <row r="54" spans="1:6" x14ac:dyDescent="0.2">
      <c r="A54" s="21" t="s">
        <v>32</v>
      </c>
      <c r="B54" s="19" t="s">
        <v>43</v>
      </c>
      <c r="C54" s="25" t="s">
        <v>145</v>
      </c>
      <c r="D54" s="25" t="s">
        <v>146</v>
      </c>
      <c r="E54" s="25" t="s">
        <v>147</v>
      </c>
      <c r="F54" s="21"/>
    </row>
    <row r="55" spans="1:6" s="28" customFormat="1" ht="13.5" thickBot="1" x14ac:dyDescent="0.25">
      <c r="A55" s="27"/>
      <c r="B55" s="27"/>
      <c r="C55" s="27"/>
      <c r="D55" s="27"/>
      <c r="E55" s="27"/>
      <c r="F55" s="27"/>
    </row>
    <row r="56" spans="1:6" x14ac:dyDescent="0.2">
      <c r="A56" s="20"/>
      <c r="B56" s="23"/>
      <c r="C56" s="23"/>
      <c r="D56" s="21"/>
      <c r="E56" s="21"/>
      <c r="F56" s="21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1C7E3B5B685244E9F316DC5AF52F3F3" ma:contentTypeVersion="6" ma:contentTypeDescription="Ein neues Dokument erstellen." ma:contentTypeScope="" ma:versionID="5922a524ea719d7172c03bd4767f06ed">
  <xsd:schema xmlns:xsd="http://www.w3.org/2001/XMLSchema" xmlns:xs="http://www.w3.org/2001/XMLSchema" xmlns:p="http://schemas.microsoft.com/office/2006/metadata/properties" xmlns:ns1="http://schemas.microsoft.com/sharepoint/v3" xmlns:ns2="a85bdc46-611b-4a7e-936f-e8248c6e1bca" targetNamespace="http://schemas.microsoft.com/office/2006/metadata/properties" ma:root="true" ma:fieldsID="2f5bd5d7e51ad7ad358f4884b85fdf5e" ns1:_="" ns2:_="">
    <xsd:import namespace="http://schemas.microsoft.com/sharepoint/v3"/>
    <xsd:import namespace="a85bdc46-611b-4a7e-936f-e8248c6e1bc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bdc46-611b-4a7e-936f-e8248c6e1bca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a85bdc46-611b-4a7e-936f-e8248c6e1bca">1003</Benutzerdefinierte_x0020_ID>
    <Kategorie xmlns="a85bdc46-611b-4a7e-936f-e8248c6e1bca">Beherbergungsstatistik</Kategorie>
    <Titel_DE xmlns="a85bdc46-611b-4a7e-936f-e8248c6e1bca">Beherbergungsstatistik Graubuenden, Bruttozimmerauslastung 2023-2025</Titel_DE>
    <PublishingExpirationDate xmlns="http://schemas.microsoft.com/sharepoint/v3" xsi:nil="true"/>
    <PublishingStartDate xmlns="http://schemas.microsoft.com/sharepoint/v3" xsi:nil="true"/>
    <Titel_IT xmlns="a85bdc46-611b-4a7e-936f-e8248c6e1bca">Statistica dei pernottamenti turistici dei Grigioni, occupazione delle camere lorda 2023-2025</Titel_IT>
    <Titel_RM xmlns="a85bdc46-611b-4a7e-936f-e8248c6e1bca">Statistica d'alloschament en il Grischun, occupaziun da las chombras brutta 2023-2025</Titel_RM>
  </documentManagement>
</p:properties>
</file>

<file path=customXml/itemProps1.xml><?xml version="1.0" encoding="utf-8"?>
<ds:datastoreItem xmlns:ds="http://schemas.openxmlformats.org/officeDocument/2006/customXml" ds:itemID="{6E5CE612-8680-48E0-A8AC-9E6C23475335}"/>
</file>

<file path=customXml/itemProps2.xml><?xml version="1.0" encoding="utf-8"?>
<ds:datastoreItem xmlns:ds="http://schemas.openxmlformats.org/officeDocument/2006/customXml" ds:itemID="{CC611879-D64B-4321-B52D-EC04916C1694}"/>
</file>

<file path=customXml/itemProps3.xml><?xml version="1.0" encoding="utf-8"?>
<ds:datastoreItem xmlns:ds="http://schemas.openxmlformats.org/officeDocument/2006/customXml" ds:itemID="{78D8DA22-DCD9-43C8-A093-8F7356BEB6D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Auslastung_Occupaziun_Occupazio</vt:lpstr>
      <vt:lpstr>Uebersetzungen</vt:lpstr>
      <vt:lpstr>Auslastung_Occupaziun_Occupazio!Druckbereich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Beherbergungsstatistik Graubünden Bruttozimmerauslastung</dc:title>
  <dc:creator>Luzius Stricker</dc:creator>
  <cp:lastModifiedBy>Monstein Urs (AWT GR)</cp:lastModifiedBy>
  <cp:lastPrinted>2025-03-07T13:30:09Z</cp:lastPrinted>
  <dcterms:created xsi:type="dcterms:W3CDTF">2012-02-14T12:10:20Z</dcterms:created>
  <dcterms:modified xsi:type="dcterms:W3CDTF">2025-12-04T08:34:50Z</dcterms:modified>
  <cp:category>Beherbergungsstatistik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2025-05-06T08:39:18Z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867f40e9-7253-4933-870d-3409cdf973f4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0x01010061C7E3B5B685244E9F316DC5AF52F3F3</vt:lpwstr>
  </property>
</Properties>
</file>