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DieseArbeitsmappe" defaultThemeVersion="124226"/>
  <mc:AlternateContent xmlns:mc="http://schemas.openxmlformats.org/markup-compatibility/2006">
    <mc:Choice Requires="x15">
      <x15ac:absPath xmlns:x15ac="http://schemas.microsoft.com/office/spreadsheetml/2010/11/ac" url="X:\"/>
    </mc:Choice>
  </mc:AlternateContent>
  <xr:revisionPtr revIDLastSave="0" documentId="13_ncr:1_{D1CBE478-C3A8-4E11-ABE0-341BEB89A307}" xr6:coauthVersionLast="47" xr6:coauthVersionMax="47" xr10:uidLastSave="{00000000-0000-0000-0000-000000000000}"/>
  <workbookProtection workbookAlgorithmName="SHA-512" workbookHashValue="UH1xLwL4MNSHUWUcy0VbDBnWi9/4Vk84Hw0IdV0iO+9sIiKzOofpjRwKfP+ariIIYJrBI8Bplk88eCwwqhotvg==" workbookSaltValue="w0STMbtUk6InRyP6BM4S0Q==" workbookSpinCount="100000" lockStructure="1"/>
  <bookViews>
    <workbookView xWindow="28680" yWindow="-120" windowWidth="29040" windowHeight="17520" tabRatio="766" xr2:uid="{00000000-000D-0000-FFFF-FFFF00000000}"/>
  </bookViews>
  <sheets>
    <sheet name="Grundfutterbilanz" sheetId="2" r:id="rId1"/>
    <sheet name="Glossar" sheetId="12" r:id="rId2"/>
    <sheet name="Tab-HD" sheetId="6" state="hidden" r:id="rId3"/>
    <sheet name="Tab-Bezüge" sheetId="9" state="hidden" r:id="rId4"/>
  </sheets>
  <definedNames>
    <definedName name="_xlnm.Print_Area" localSheetId="1">Glossar!$A$1:$C$17</definedName>
    <definedName name="_xlnm.Print_Area" localSheetId="0">Grundfutterbilanz!$A$1:$M$64</definedName>
    <definedName name="Z_DE545A82_34CB_4C58_841D_D0AF30A53BE0_.wvu.PrintArea" localSheetId="0" hidden="1">Grundfutterbilanz!$B$1:$M$56</definedName>
  </definedNames>
  <calcPr calcId="191029"/>
  <customWorkbookViews>
    <customWorkbookView name="Michel Gion - Persönliche Ansicht" guid="{DE545A82-34CB-4C58-841D-D0AF30A53BE0}" mergeInterval="0" personalView="1" maximized="1" xWindow="-8" yWindow="-8" windowWidth="1936" windowHeight="1176" tabRatio="652"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7" i="2" l="1"/>
  <c r="G54" i="2" l="1"/>
  <c r="F52" i="2"/>
  <c r="I52" i="2" s="1"/>
  <c r="K52" i="2"/>
  <c r="K53" i="2"/>
  <c r="F53" i="2"/>
  <c r="J53" i="2" s="1"/>
  <c r="G55" i="2"/>
  <c r="M55" i="2" s="1"/>
  <c r="G45" i="2"/>
  <c r="M45" i="2" s="1"/>
  <c r="G44" i="2"/>
  <c r="M44" i="2" s="1"/>
  <c r="G43" i="2"/>
  <c r="M43" i="2" s="1"/>
  <c r="G42" i="2"/>
  <c r="M42" i="2" s="1"/>
  <c r="J41" i="2"/>
  <c r="I41" i="2"/>
  <c r="K40" i="2"/>
  <c r="J40" i="2"/>
  <c r="I40" i="2"/>
  <c r="K30" i="2"/>
  <c r="E23" i="6"/>
  <c r="E22" i="6"/>
  <c r="I46" i="2" l="1"/>
  <c r="G41" i="2"/>
  <c r="M41" i="2" s="1"/>
  <c r="J46" i="2"/>
  <c r="I53" i="2"/>
  <c r="G53" i="2" s="1"/>
  <c r="M53" i="2" s="1"/>
  <c r="J52" i="2"/>
  <c r="G52" i="2" s="1"/>
  <c r="M52" i="2" s="1"/>
  <c r="G40" i="2"/>
  <c r="I56" i="2" l="1"/>
  <c r="G46" i="2"/>
  <c r="M40" i="2"/>
  <c r="M46" i="2" s="1"/>
  <c r="J62" i="2" l="1"/>
  <c r="J56" i="2" l="1"/>
  <c r="M54" i="2" l="1"/>
  <c r="M56" i="2" s="1"/>
  <c r="J63" i="2" s="1"/>
  <c r="G56" i="2"/>
  <c r="E60" i="2" l="1"/>
  <c r="D246" i="6" l="1"/>
  <c r="B246" i="6"/>
  <c r="D242" i="6"/>
  <c r="D243" i="6"/>
  <c r="D244" i="6"/>
  <c r="D245" i="6"/>
  <c r="B247" i="6"/>
  <c r="B248" i="6"/>
  <c r="B249" i="6"/>
  <c r="B250" i="6"/>
  <c r="B251" i="6"/>
  <c r="B252" i="6"/>
  <c r="B253" i="6"/>
  <c r="C242" i="6"/>
  <c r="C243" i="6"/>
  <c r="C244" i="6"/>
  <c r="C245" i="6"/>
  <c r="C241" i="6"/>
  <c r="B242" i="6"/>
  <c r="H242" i="6" s="1"/>
  <c r="B243" i="6"/>
  <c r="H243" i="6" s="1"/>
  <c r="B244" i="6"/>
  <c r="H244" i="6" s="1"/>
  <c r="B245" i="6"/>
  <c r="H245" i="6" s="1"/>
  <c r="B233" i="6"/>
  <c r="C207" i="6"/>
  <c r="C206" i="6"/>
  <c r="C205" i="6"/>
  <c r="C204" i="6"/>
  <c r="C203" i="6"/>
  <c r="F47" i="6"/>
  <c r="F46" i="6"/>
  <c r="F45" i="6"/>
  <c r="F44" i="6"/>
  <c r="C107" i="6" l="1"/>
  <c r="D107" i="6"/>
  <c r="C108" i="6"/>
  <c r="D108" i="6"/>
  <c r="C109" i="6"/>
  <c r="D109" i="6"/>
  <c r="C110" i="6"/>
  <c r="D110" i="6"/>
  <c r="D106" i="6"/>
  <c r="C106" i="6"/>
  <c r="B234" i="6" l="1"/>
  <c r="F23" i="6" l="1"/>
  <c r="H23" i="6"/>
  <c r="C77" i="6" s="1"/>
  <c r="I23" i="6"/>
  <c r="D87" i="6" s="1"/>
  <c r="D98" i="6"/>
  <c r="G29" i="6"/>
  <c r="C130" i="9"/>
  <c r="F130" i="9" s="1"/>
  <c r="G130" i="9"/>
  <c r="D140" i="6"/>
  <c r="G30" i="6"/>
  <c r="G24" i="6"/>
  <c r="B89" i="6" s="1"/>
  <c r="I89" i="6" s="1"/>
  <c r="C135" i="9"/>
  <c r="F135" i="9" s="1"/>
  <c r="C131" i="9"/>
  <c r="G131" i="9" s="1"/>
  <c r="C132" i="9"/>
  <c r="G132" i="9" s="1"/>
  <c r="G133" i="9"/>
  <c r="C134" i="9"/>
  <c r="G134" i="9" s="1"/>
  <c r="F131" i="9"/>
  <c r="F133" i="9"/>
  <c r="A85" i="9"/>
  <c r="D85" i="9"/>
  <c r="H85" i="9"/>
  <c r="A86" i="9"/>
  <c r="D86" i="9"/>
  <c r="H86" i="9"/>
  <c r="G32" i="6"/>
  <c r="M176" i="6" s="1"/>
  <c r="I207" i="6"/>
  <c r="I204" i="6"/>
  <c r="I205" i="6"/>
  <c r="I206" i="6"/>
  <c r="I203" i="6"/>
  <c r="H87" i="9"/>
  <c r="H88" i="9"/>
  <c r="H89" i="9"/>
  <c r="H90" i="9"/>
  <c r="H91" i="9"/>
  <c r="H92" i="9"/>
  <c r="H93" i="9"/>
  <c r="H94" i="9"/>
  <c r="H95" i="9"/>
  <c r="H96" i="9"/>
  <c r="H97" i="9"/>
  <c r="H98" i="9"/>
  <c r="H99" i="9"/>
  <c r="H84" i="9"/>
  <c r="D87" i="9"/>
  <c r="D88" i="9"/>
  <c r="D89" i="9"/>
  <c r="D90" i="9"/>
  <c r="D91" i="9"/>
  <c r="D92" i="9"/>
  <c r="D93" i="9"/>
  <c r="D94" i="9"/>
  <c r="D95" i="9"/>
  <c r="D96" i="9"/>
  <c r="D97" i="9"/>
  <c r="D98" i="9"/>
  <c r="D99" i="9"/>
  <c r="A87" i="9"/>
  <c r="A88" i="9"/>
  <c r="A89" i="9"/>
  <c r="A90" i="9"/>
  <c r="A91" i="9"/>
  <c r="A92" i="9"/>
  <c r="A93" i="9"/>
  <c r="A94" i="9"/>
  <c r="A95" i="9"/>
  <c r="A96" i="9"/>
  <c r="A97" i="9"/>
  <c r="A98" i="9"/>
  <c r="A99" i="9"/>
  <c r="D84" i="9"/>
  <c r="A84" i="9"/>
  <c r="G16" i="2"/>
  <c r="C111" i="6"/>
  <c r="G25" i="6"/>
  <c r="B98" i="6" s="1"/>
  <c r="F25" i="6"/>
  <c r="F24" i="6"/>
  <c r="M103" i="6"/>
  <c r="B105" i="6"/>
  <c r="H105" i="6" s="1"/>
  <c r="M102" i="6"/>
  <c r="M104" i="6"/>
  <c r="M101" i="6"/>
  <c r="B99" i="6"/>
  <c r="H99" i="6" s="1"/>
  <c r="B104" i="6"/>
  <c r="I104" i="6" s="1"/>
  <c r="B100" i="6"/>
  <c r="I100" i="6" s="1"/>
  <c r="B101" i="6"/>
  <c r="H101" i="6" s="1"/>
  <c r="M99" i="6"/>
  <c r="B103" i="6"/>
  <c r="H103" i="6" s="1"/>
  <c r="M98" i="6"/>
  <c r="M105" i="6"/>
  <c r="D94" i="6"/>
  <c r="D95" i="6"/>
  <c r="D96" i="6"/>
  <c r="D89" i="6"/>
  <c r="D97" i="6"/>
  <c r="D93" i="6"/>
  <c r="D90" i="6"/>
  <c r="D91" i="6"/>
  <c r="D92" i="6"/>
  <c r="D88" i="6"/>
  <c r="B88" i="6"/>
  <c r="H88" i="6" s="1"/>
  <c r="M88" i="6"/>
  <c r="B96" i="6"/>
  <c r="H96" i="6" s="1"/>
  <c r="C93" i="6"/>
  <c r="C94" i="6"/>
  <c r="C95" i="6"/>
  <c r="C96" i="6"/>
  <c r="C90" i="6"/>
  <c r="C89" i="6"/>
  <c r="C97" i="6"/>
  <c r="C92" i="6"/>
  <c r="C88" i="6"/>
  <c r="C91" i="6"/>
  <c r="C98" i="6"/>
  <c r="C105" i="6"/>
  <c r="C104" i="6"/>
  <c r="C102" i="6"/>
  <c r="C100" i="6"/>
  <c r="C99" i="6"/>
  <c r="C101" i="6"/>
  <c r="C103" i="6"/>
  <c r="D104" i="6"/>
  <c r="D102" i="6"/>
  <c r="D100" i="6"/>
  <c r="D101" i="6"/>
  <c r="D103" i="6"/>
  <c r="D105" i="6"/>
  <c r="D99" i="6"/>
  <c r="I88" i="6"/>
  <c r="I28" i="6"/>
  <c r="D139" i="6" s="1"/>
  <c r="F22" i="6"/>
  <c r="I14" i="2" s="1"/>
  <c r="K14" i="2" s="1"/>
  <c r="E14" i="2"/>
  <c r="D138" i="6"/>
  <c r="C138" i="6"/>
  <c r="C139" i="6"/>
  <c r="C137" i="6"/>
  <c r="D137" i="6"/>
  <c r="D116" i="6"/>
  <c r="C122" i="6"/>
  <c r="D203" i="6"/>
  <c r="B35" i="9"/>
  <c r="C35" i="9"/>
  <c r="D35" i="9"/>
  <c r="E35" i="9"/>
  <c r="F35" i="9"/>
  <c r="G35" i="9"/>
  <c r="H35" i="9"/>
  <c r="I35" i="9"/>
  <c r="J35" i="9"/>
  <c r="K35" i="9"/>
  <c r="L35" i="9"/>
  <c r="M35" i="9"/>
  <c r="N35" i="9"/>
  <c r="R35" i="9"/>
  <c r="S35" i="9"/>
  <c r="T35" i="9"/>
  <c r="U35" i="9"/>
  <c r="V35" i="9"/>
  <c r="D233" i="6"/>
  <c r="D201" i="6"/>
  <c r="D207" i="6"/>
  <c r="D206" i="6"/>
  <c r="D205" i="6"/>
  <c r="D208" i="6"/>
  <c r="D202" i="6"/>
  <c r="C161" i="6"/>
  <c r="G34" i="6"/>
  <c r="M194" i="6" s="1"/>
  <c r="G33" i="6"/>
  <c r="M191" i="6" s="1"/>
  <c r="M177" i="6"/>
  <c r="M181" i="6"/>
  <c r="M174" i="6"/>
  <c r="M182" i="6"/>
  <c r="M175" i="6"/>
  <c r="M189" i="6"/>
  <c r="M190" i="6"/>
  <c r="M192" i="6"/>
  <c r="M186" i="6"/>
  <c r="M187" i="6"/>
  <c r="M188" i="6"/>
  <c r="M195" i="6"/>
  <c r="G31" i="6"/>
  <c r="M163" i="6" s="1"/>
  <c r="M162" i="6"/>
  <c r="M170" i="6"/>
  <c r="M171" i="6"/>
  <c r="M168" i="6"/>
  <c r="M161" i="6"/>
  <c r="M169" i="6"/>
  <c r="G22" i="6"/>
  <c r="H22" i="6"/>
  <c r="H246" i="6"/>
  <c r="F26" i="6"/>
  <c r="F27" i="6"/>
  <c r="F28" i="6"/>
  <c r="F29" i="6"/>
  <c r="F30" i="6"/>
  <c r="F31" i="6"/>
  <c r="F32" i="6"/>
  <c r="F33" i="6"/>
  <c r="F34" i="6"/>
  <c r="F35" i="6"/>
  <c r="F36" i="6"/>
  <c r="F37" i="6"/>
  <c r="F38" i="6"/>
  <c r="F39" i="6"/>
  <c r="F40" i="6"/>
  <c r="F41" i="6"/>
  <c r="F42" i="6"/>
  <c r="F43" i="6"/>
  <c r="F48" i="6"/>
  <c r="F49" i="6"/>
  <c r="F50" i="6"/>
  <c r="F51" i="6"/>
  <c r="F52" i="6"/>
  <c r="F53" i="6"/>
  <c r="F54" i="6"/>
  <c r="F55" i="6"/>
  <c r="G27" i="6"/>
  <c r="M130" i="6" s="1"/>
  <c r="G26" i="6"/>
  <c r="B119" i="6" s="1"/>
  <c r="H119" i="6" s="1"/>
  <c r="G23" i="6"/>
  <c r="M85" i="6" s="1"/>
  <c r="M117" i="6"/>
  <c r="M143" i="6"/>
  <c r="M144" i="6"/>
  <c r="M145" i="6"/>
  <c r="M146" i="6"/>
  <c r="M147" i="6"/>
  <c r="M140" i="6"/>
  <c r="M148" i="6"/>
  <c r="M141" i="6"/>
  <c r="M149" i="6"/>
  <c r="M142" i="6"/>
  <c r="M131" i="6"/>
  <c r="M135" i="6"/>
  <c r="M128" i="6"/>
  <c r="M136" i="6"/>
  <c r="M124" i="6"/>
  <c r="M155" i="6"/>
  <c r="M156" i="6"/>
  <c r="M157" i="6"/>
  <c r="M150" i="6"/>
  <c r="M158" i="6"/>
  <c r="M151" i="6"/>
  <c r="M159" i="6"/>
  <c r="M152" i="6"/>
  <c r="M153" i="6"/>
  <c r="M154" i="6"/>
  <c r="C194" i="6"/>
  <c r="D194" i="6"/>
  <c r="C195" i="6"/>
  <c r="D195" i="6"/>
  <c r="C196" i="6"/>
  <c r="D196" i="6"/>
  <c r="C197" i="6"/>
  <c r="D197" i="6"/>
  <c r="C198" i="6"/>
  <c r="D198" i="6"/>
  <c r="C199" i="6"/>
  <c r="D199" i="6"/>
  <c r="C200" i="6"/>
  <c r="D200" i="6"/>
  <c r="C201" i="6"/>
  <c r="C202" i="6"/>
  <c r="C184" i="6"/>
  <c r="D184" i="6"/>
  <c r="C185" i="6"/>
  <c r="D185" i="6"/>
  <c r="C186" i="6"/>
  <c r="D186" i="6"/>
  <c r="C187" i="6"/>
  <c r="D187" i="6"/>
  <c r="C188" i="6"/>
  <c r="D188" i="6"/>
  <c r="C189" i="6"/>
  <c r="D189" i="6"/>
  <c r="C190" i="6"/>
  <c r="D190" i="6"/>
  <c r="C191" i="6"/>
  <c r="D191" i="6"/>
  <c r="C192" i="6"/>
  <c r="D192" i="6"/>
  <c r="B174" i="6"/>
  <c r="I174" i="6" s="1"/>
  <c r="C174" i="6"/>
  <c r="D174" i="6"/>
  <c r="B175" i="6"/>
  <c r="I175" i="6" s="1"/>
  <c r="C175" i="6"/>
  <c r="D175" i="6"/>
  <c r="C176" i="6"/>
  <c r="D176" i="6"/>
  <c r="C177" i="6"/>
  <c r="D177" i="6"/>
  <c r="B178" i="6"/>
  <c r="I178" i="6" s="1"/>
  <c r="C178" i="6"/>
  <c r="D178" i="6"/>
  <c r="B179" i="6"/>
  <c r="I179" i="6" s="1"/>
  <c r="C179" i="6"/>
  <c r="D179" i="6"/>
  <c r="C180" i="6"/>
  <c r="D180" i="6"/>
  <c r="C181" i="6"/>
  <c r="D181" i="6"/>
  <c r="B182" i="6"/>
  <c r="I182" i="6" s="1"/>
  <c r="C182" i="6"/>
  <c r="D182" i="6"/>
  <c r="D173" i="6"/>
  <c r="D172" i="6"/>
  <c r="C173" i="6"/>
  <c r="C172" i="6"/>
  <c r="D161" i="6"/>
  <c r="B162" i="6"/>
  <c r="I162" i="6" s="1"/>
  <c r="C162" i="6"/>
  <c r="D162" i="6"/>
  <c r="C163" i="6"/>
  <c r="D163" i="6"/>
  <c r="C164" i="6"/>
  <c r="D164" i="6"/>
  <c r="C165" i="6"/>
  <c r="D165" i="6"/>
  <c r="C166" i="6"/>
  <c r="D166" i="6"/>
  <c r="B167" i="6"/>
  <c r="H167" i="6" s="1"/>
  <c r="C167" i="6"/>
  <c r="D167" i="6"/>
  <c r="B168" i="6"/>
  <c r="H168" i="6" s="1"/>
  <c r="C168" i="6"/>
  <c r="D168" i="6"/>
  <c r="C169" i="6"/>
  <c r="D169" i="6"/>
  <c r="C170" i="6"/>
  <c r="D170" i="6"/>
  <c r="C171" i="6"/>
  <c r="D171" i="6"/>
  <c r="D160" i="6"/>
  <c r="C160" i="6"/>
  <c r="B160" i="6"/>
  <c r="I160" i="6" s="1"/>
  <c r="B151" i="6"/>
  <c r="I151" i="6" s="1"/>
  <c r="C151" i="6"/>
  <c r="D151" i="6"/>
  <c r="C152" i="6"/>
  <c r="D152" i="6"/>
  <c r="C153" i="6"/>
  <c r="D153" i="6"/>
  <c r="B154" i="6"/>
  <c r="I154" i="6" s="1"/>
  <c r="C154" i="6"/>
  <c r="D154" i="6"/>
  <c r="C155" i="6"/>
  <c r="D155" i="6"/>
  <c r="B156" i="6"/>
  <c r="I156" i="6" s="1"/>
  <c r="C156" i="6"/>
  <c r="D156" i="6"/>
  <c r="B157" i="6"/>
  <c r="I157" i="6" s="1"/>
  <c r="C157" i="6"/>
  <c r="D157" i="6"/>
  <c r="C158" i="6"/>
  <c r="D158" i="6"/>
  <c r="B159" i="6"/>
  <c r="H159" i="6" s="1"/>
  <c r="C159" i="6"/>
  <c r="D159" i="6"/>
  <c r="D150" i="6"/>
  <c r="C150" i="6"/>
  <c r="C141" i="6"/>
  <c r="D141" i="6"/>
  <c r="C142" i="6"/>
  <c r="D142" i="6"/>
  <c r="C143" i="6"/>
  <c r="D143" i="6"/>
  <c r="C144" i="6"/>
  <c r="D144" i="6"/>
  <c r="B145" i="6"/>
  <c r="I145" i="6" s="1"/>
  <c r="C145" i="6"/>
  <c r="D145" i="6"/>
  <c r="C146" i="6"/>
  <c r="D146" i="6"/>
  <c r="C147" i="6"/>
  <c r="D147" i="6"/>
  <c r="B148" i="6"/>
  <c r="I148" i="6" s="1"/>
  <c r="C148" i="6"/>
  <c r="D148" i="6"/>
  <c r="C149" i="6"/>
  <c r="D149" i="6"/>
  <c r="C140" i="6"/>
  <c r="D125" i="6"/>
  <c r="D126" i="6"/>
  <c r="D127" i="6"/>
  <c r="D128" i="6"/>
  <c r="D129" i="6"/>
  <c r="D130" i="6"/>
  <c r="D131" i="6"/>
  <c r="D132" i="6"/>
  <c r="D133" i="6"/>
  <c r="D134" i="6"/>
  <c r="D135" i="6"/>
  <c r="D136" i="6"/>
  <c r="C125" i="6"/>
  <c r="C126" i="6"/>
  <c r="C127" i="6"/>
  <c r="C128" i="6"/>
  <c r="C129" i="6"/>
  <c r="C130" i="6"/>
  <c r="C131" i="6"/>
  <c r="C132" i="6"/>
  <c r="C133" i="6"/>
  <c r="C134" i="6"/>
  <c r="C135" i="6"/>
  <c r="C136" i="6"/>
  <c r="C112" i="6"/>
  <c r="D112" i="6"/>
  <c r="C113" i="6"/>
  <c r="D113" i="6"/>
  <c r="C114" i="6"/>
  <c r="D114" i="6"/>
  <c r="C115" i="6"/>
  <c r="D115" i="6"/>
  <c r="C116" i="6"/>
  <c r="C117" i="6"/>
  <c r="D117" i="6"/>
  <c r="C118" i="6"/>
  <c r="D118" i="6"/>
  <c r="C119" i="6"/>
  <c r="D119" i="6"/>
  <c r="C120" i="6"/>
  <c r="D120" i="6"/>
  <c r="C121" i="6"/>
  <c r="D121" i="6"/>
  <c r="D122" i="6"/>
  <c r="C123" i="6"/>
  <c r="D123" i="6"/>
  <c r="D111" i="6"/>
  <c r="B143" i="6"/>
  <c r="I143" i="6" s="1"/>
  <c r="G28" i="6"/>
  <c r="M138" i="6" s="1"/>
  <c r="H179" i="6"/>
  <c r="B142" i="6"/>
  <c r="I142" i="6" s="1"/>
  <c r="B147" i="6"/>
  <c r="I147" i="6" s="1"/>
  <c r="B153" i="6"/>
  <c r="H153" i="6" s="1"/>
  <c r="B144" i="6"/>
  <c r="I144" i="6" s="1"/>
  <c r="B158" i="6"/>
  <c r="I158" i="6" s="1"/>
  <c r="B149" i="6"/>
  <c r="I149" i="6" s="1"/>
  <c r="B141" i="6"/>
  <c r="I141" i="6" s="1"/>
  <c r="B155" i="6"/>
  <c r="I155" i="6" s="1"/>
  <c r="B166" i="6"/>
  <c r="I166" i="6" s="1"/>
  <c r="B169" i="6"/>
  <c r="H169" i="6" s="1"/>
  <c r="B146" i="6"/>
  <c r="I146" i="6" s="1"/>
  <c r="B150" i="6"/>
  <c r="H150" i="6" s="1"/>
  <c r="B152" i="6"/>
  <c r="I152" i="6" s="1"/>
  <c r="B140" i="6"/>
  <c r="I140" i="6" s="1"/>
  <c r="H140" i="6"/>
  <c r="G37" i="6"/>
  <c r="B235" i="6" s="1"/>
  <c r="B215" i="6"/>
  <c r="H215" i="6" s="1"/>
  <c r="B131" i="6"/>
  <c r="H131" i="6" s="1"/>
  <c r="B135" i="6"/>
  <c r="H135" i="6" s="1"/>
  <c r="B136" i="6"/>
  <c r="I136" i="6" s="1"/>
  <c r="B132" i="6"/>
  <c r="H132" i="6" s="1"/>
  <c r="B127" i="6"/>
  <c r="I127" i="6" s="1"/>
  <c r="B125" i="6"/>
  <c r="I125" i="6" s="1"/>
  <c r="B118" i="6"/>
  <c r="I118" i="6" s="1"/>
  <c r="I22" i="6"/>
  <c r="D62" i="6" s="1"/>
  <c r="H125" i="6"/>
  <c r="E15" i="2"/>
  <c r="E16" i="2"/>
  <c r="E17" i="2"/>
  <c r="E18" i="2"/>
  <c r="E19" i="2"/>
  <c r="E20" i="2"/>
  <c r="E21" i="2"/>
  <c r="E22" i="2"/>
  <c r="E23" i="2"/>
  <c r="E24" i="2"/>
  <c r="E25" i="2"/>
  <c r="E26" i="2"/>
  <c r="E27" i="2"/>
  <c r="B229" i="6"/>
  <c r="H229" i="6" s="1"/>
  <c r="B224" i="6"/>
  <c r="H224" i="6" s="1"/>
  <c r="B222" i="6"/>
  <c r="H222" i="6" s="1"/>
  <c r="B221" i="6"/>
  <c r="H221" i="6" s="1"/>
  <c r="B209" i="6"/>
  <c r="H209" i="6" s="1"/>
  <c r="I209" i="6" s="1"/>
  <c r="G43" i="6"/>
  <c r="B241" i="6" s="1"/>
  <c r="G41" i="6"/>
  <c r="B239" i="6" s="1"/>
  <c r="I239" i="6" s="1"/>
  <c r="G42" i="6"/>
  <c r="B240" i="6" s="1"/>
  <c r="I240" i="6" s="1"/>
  <c r="G40" i="6"/>
  <c r="B238" i="6" s="1"/>
  <c r="I238" i="6" s="1"/>
  <c r="G39" i="6"/>
  <c r="B237" i="6" s="1"/>
  <c r="H237" i="6" s="1"/>
  <c r="G38" i="6"/>
  <c r="B236" i="6" s="1"/>
  <c r="H236" i="6" s="1"/>
  <c r="H235" i="6"/>
  <c r="G20" i="2"/>
  <c r="I20" i="2"/>
  <c r="H254" i="6"/>
  <c r="I16" i="2"/>
  <c r="I17" i="2"/>
  <c r="I18" i="2"/>
  <c r="I19" i="2"/>
  <c r="I21" i="2"/>
  <c r="I22" i="2"/>
  <c r="I23" i="2"/>
  <c r="I24" i="2"/>
  <c r="I25" i="2"/>
  <c r="I26" i="2"/>
  <c r="I27" i="2"/>
  <c r="C229" i="6"/>
  <c r="D229" i="6"/>
  <c r="C230" i="6"/>
  <c r="D230" i="6"/>
  <c r="C231" i="6"/>
  <c r="D231" i="6"/>
  <c r="C232" i="6"/>
  <c r="D232" i="6"/>
  <c r="D228" i="6"/>
  <c r="C228" i="6"/>
  <c r="C224" i="6"/>
  <c r="D224" i="6"/>
  <c r="C225" i="6"/>
  <c r="D225" i="6"/>
  <c r="C226" i="6"/>
  <c r="D226" i="6"/>
  <c r="C227" i="6"/>
  <c r="D227" i="6"/>
  <c r="D223" i="6"/>
  <c r="C223" i="6"/>
  <c r="C219" i="6"/>
  <c r="D219" i="6"/>
  <c r="C220" i="6"/>
  <c r="D220" i="6"/>
  <c r="C221" i="6"/>
  <c r="D221" i="6"/>
  <c r="C222" i="6"/>
  <c r="D222" i="6"/>
  <c r="D218" i="6"/>
  <c r="C218" i="6"/>
  <c r="C214" i="6"/>
  <c r="D214" i="6"/>
  <c r="C215" i="6"/>
  <c r="D215" i="6"/>
  <c r="C216" i="6"/>
  <c r="D216" i="6"/>
  <c r="C217" i="6"/>
  <c r="D217" i="6"/>
  <c r="D213" i="6"/>
  <c r="C213" i="6"/>
  <c r="B213" i="6"/>
  <c r="H213" i="6" s="1"/>
  <c r="C209" i="6"/>
  <c r="D209" i="6"/>
  <c r="C210" i="6"/>
  <c r="D210" i="6"/>
  <c r="C211" i="6"/>
  <c r="D211" i="6"/>
  <c r="C212" i="6"/>
  <c r="D212" i="6"/>
  <c r="C208" i="6"/>
  <c r="D193" i="6"/>
  <c r="C193" i="6"/>
  <c r="D183" i="6"/>
  <c r="C183" i="6"/>
  <c r="H247" i="6"/>
  <c r="C247" i="6"/>
  <c r="D247" i="6"/>
  <c r="H248" i="6"/>
  <c r="C248" i="6"/>
  <c r="D248" i="6"/>
  <c r="H249" i="6"/>
  <c r="C249" i="6"/>
  <c r="D249" i="6"/>
  <c r="H250" i="6"/>
  <c r="C250" i="6"/>
  <c r="D250" i="6"/>
  <c r="H251" i="6"/>
  <c r="C251" i="6"/>
  <c r="D251" i="6"/>
  <c r="H252" i="6"/>
  <c r="C252" i="6"/>
  <c r="D252" i="6"/>
  <c r="H253" i="6"/>
  <c r="C253" i="6"/>
  <c r="D253" i="6"/>
  <c r="C246" i="6"/>
  <c r="H234" i="6"/>
  <c r="C234" i="6"/>
  <c r="D234" i="6"/>
  <c r="C235" i="6"/>
  <c r="D235" i="6"/>
  <c r="C236" i="6"/>
  <c r="D236" i="6"/>
  <c r="C237" i="6"/>
  <c r="D237" i="6"/>
  <c r="C238" i="6"/>
  <c r="D238" i="6"/>
  <c r="C239" i="6"/>
  <c r="D239" i="6"/>
  <c r="C240" i="6"/>
  <c r="D240" i="6"/>
  <c r="D241" i="6"/>
  <c r="C233" i="6"/>
  <c r="H233" i="6"/>
  <c r="H238" i="6"/>
  <c r="B194" i="6"/>
  <c r="I194" i="6" s="1"/>
  <c r="B202" i="6"/>
  <c r="H202" i="6" s="1"/>
  <c r="B188" i="6"/>
  <c r="H188" i="6" s="1"/>
  <c r="B183" i="6"/>
  <c r="H183" i="6" s="1"/>
  <c r="B185" i="6"/>
  <c r="H185" i="6" s="1"/>
  <c r="B191" i="6"/>
  <c r="H191" i="6" s="1"/>
  <c r="B189" i="6"/>
  <c r="H189" i="6" s="1"/>
  <c r="B190" i="6"/>
  <c r="H190" i="6" s="1"/>
  <c r="B186" i="6"/>
  <c r="I186" i="6" s="1"/>
  <c r="B192" i="6"/>
  <c r="H192" i="6" s="1"/>
  <c r="B184" i="6"/>
  <c r="H184" i="6" s="1"/>
  <c r="B187" i="6"/>
  <c r="H187" i="6" s="1"/>
  <c r="B223" i="6"/>
  <c r="H223" i="6" s="1"/>
  <c r="B225" i="6"/>
  <c r="H225" i="6" s="1"/>
  <c r="B226" i="6"/>
  <c r="H226" i="6" s="1"/>
  <c r="B227" i="6"/>
  <c r="B230" i="6"/>
  <c r="H230" i="6" s="1"/>
  <c r="B232" i="6"/>
  <c r="H232" i="6" s="1"/>
  <c r="B228" i="6"/>
  <c r="H228" i="6" s="1"/>
  <c r="G15" i="2"/>
  <c r="H15" i="2" s="1"/>
  <c r="G17" i="2"/>
  <c r="H17" i="2" s="1"/>
  <c r="G18" i="2"/>
  <c r="G19" i="2"/>
  <c r="G21" i="2"/>
  <c r="G22" i="2"/>
  <c r="H22" i="2" s="1"/>
  <c r="G23" i="2"/>
  <c r="G24" i="2"/>
  <c r="G25" i="2"/>
  <c r="G26" i="2"/>
  <c r="G27" i="2"/>
  <c r="H27" i="2" s="1"/>
  <c r="G14" i="2"/>
  <c r="I15" i="2"/>
  <c r="H227" i="6"/>
  <c r="C124" i="6"/>
  <c r="D124" i="6"/>
  <c r="H28" i="2"/>
  <c r="H29" i="2"/>
  <c r="H30" i="2"/>
  <c r="B138" i="6" l="1"/>
  <c r="I138" i="6" s="1"/>
  <c r="B139" i="6"/>
  <c r="I139" i="6" s="1"/>
  <c r="I101" i="6"/>
  <c r="M137" i="6"/>
  <c r="E31" i="2"/>
  <c r="M139" i="6"/>
  <c r="D80" i="6"/>
  <c r="D77" i="6"/>
  <c r="D75" i="6"/>
  <c r="D85" i="6"/>
  <c r="D76" i="6"/>
  <c r="D84" i="6"/>
  <c r="D82" i="6"/>
  <c r="H98" i="6"/>
  <c r="I98" i="6"/>
  <c r="B212" i="6"/>
  <c r="H212" i="6" s="1"/>
  <c r="I212" i="6" s="1"/>
  <c r="B198" i="6"/>
  <c r="H198" i="6" s="1"/>
  <c r="B117" i="6"/>
  <c r="I117" i="6" s="1"/>
  <c r="B130" i="6"/>
  <c r="H130" i="6" s="1"/>
  <c r="B172" i="6"/>
  <c r="B181" i="6"/>
  <c r="H181" i="6" s="1"/>
  <c r="B177" i="6"/>
  <c r="H177" i="6" s="1"/>
  <c r="M127" i="6"/>
  <c r="M115" i="6"/>
  <c r="M160" i="6"/>
  <c r="M200" i="6"/>
  <c r="M185" i="6"/>
  <c r="M173" i="6"/>
  <c r="B94" i="6"/>
  <c r="H94" i="6" s="1"/>
  <c r="M100" i="6"/>
  <c r="B199" i="6"/>
  <c r="H199" i="6" s="1"/>
  <c r="B201" i="6"/>
  <c r="H201" i="6" s="1"/>
  <c r="B214" i="6"/>
  <c r="H214" i="6" s="1"/>
  <c r="M123" i="6"/>
  <c r="M201" i="6"/>
  <c r="B97" i="6"/>
  <c r="I97" i="6" s="1"/>
  <c r="H160" i="6"/>
  <c r="B220" i="6"/>
  <c r="H220" i="6" s="1"/>
  <c r="I183" i="6"/>
  <c r="H239" i="6"/>
  <c r="B231" i="6"/>
  <c r="H231" i="6" s="1"/>
  <c r="B120" i="6"/>
  <c r="H120" i="6" s="1"/>
  <c r="H138" i="6"/>
  <c r="B161" i="6"/>
  <c r="B137" i="6"/>
  <c r="B170" i="6"/>
  <c r="H170" i="6" s="1"/>
  <c r="M134" i="6"/>
  <c r="M122" i="6"/>
  <c r="M167" i="6"/>
  <c r="M199" i="6"/>
  <c r="M183" i="6"/>
  <c r="M180" i="6"/>
  <c r="D204" i="6"/>
  <c r="B91" i="6"/>
  <c r="I91" i="6" s="1"/>
  <c r="M97" i="6"/>
  <c r="B112" i="6"/>
  <c r="H112" i="6" s="1"/>
  <c r="B126" i="6"/>
  <c r="H126" i="6" s="1"/>
  <c r="B124" i="6"/>
  <c r="B165" i="6"/>
  <c r="H165" i="6" s="1"/>
  <c r="B173" i="6"/>
  <c r="M126" i="6"/>
  <c r="M114" i="6"/>
  <c r="M166" i="6"/>
  <c r="M198" i="6"/>
  <c r="M184" i="6"/>
  <c r="M179" i="6"/>
  <c r="B90" i="6"/>
  <c r="I90" i="6" s="1"/>
  <c r="M89" i="6"/>
  <c r="M106" i="6"/>
  <c r="B107" i="6"/>
  <c r="B109" i="6"/>
  <c r="M110" i="6"/>
  <c r="M107" i="6"/>
  <c r="B110" i="6"/>
  <c r="H110" i="6" s="1"/>
  <c r="M109" i="6"/>
  <c r="B108" i="6"/>
  <c r="M108" i="6"/>
  <c r="B211" i="6"/>
  <c r="H211" i="6" s="1"/>
  <c r="I211" i="6" s="1"/>
  <c r="B217" i="6"/>
  <c r="H217" i="6" s="1"/>
  <c r="B193" i="6"/>
  <c r="B219" i="6"/>
  <c r="H219" i="6" s="1"/>
  <c r="B218" i="6"/>
  <c r="H218" i="6" s="1"/>
  <c r="H240" i="6"/>
  <c r="B113" i="6"/>
  <c r="I113" i="6" s="1"/>
  <c r="B133" i="6"/>
  <c r="H133" i="6" s="1"/>
  <c r="B129" i="6"/>
  <c r="H129" i="6" s="1"/>
  <c r="B171" i="6"/>
  <c r="H171" i="6" s="1"/>
  <c r="B180" i="6"/>
  <c r="H180" i="6" s="1"/>
  <c r="B176" i="6"/>
  <c r="H176" i="6" s="1"/>
  <c r="M133" i="6"/>
  <c r="M121" i="6"/>
  <c r="M165" i="6"/>
  <c r="M197" i="6"/>
  <c r="M178" i="6"/>
  <c r="M93" i="6"/>
  <c r="B102" i="6"/>
  <c r="I102" i="6" s="1"/>
  <c r="B115" i="6"/>
  <c r="H115" i="6" s="1"/>
  <c r="M125" i="6"/>
  <c r="M113" i="6"/>
  <c r="M172" i="6"/>
  <c r="M196" i="6"/>
  <c r="M94" i="6"/>
  <c r="B93" i="6"/>
  <c r="I93" i="6" s="1"/>
  <c r="B197" i="6"/>
  <c r="H197" i="6" s="1"/>
  <c r="B200" i="6"/>
  <c r="I200" i="6" s="1"/>
  <c r="B216" i="6"/>
  <c r="H216" i="6" s="1"/>
  <c r="B122" i="6"/>
  <c r="H122" i="6" s="1"/>
  <c r="B128" i="6"/>
  <c r="H128" i="6" s="1"/>
  <c r="I150" i="6"/>
  <c r="B164" i="6"/>
  <c r="I164" i="6" s="1"/>
  <c r="M132" i="6"/>
  <c r="M120" i="6"/>
  <c r="M164" i="6"/>
  <c r="M193" i="6"/>
  <c r="M92" i="6"/>
  <c r="M96" i="6"/>
  <c r="B106" i="6"/>
  <c r="H106" i="6" s="1"/>
  <c r="B114" i="6"/>
  <c r="H114" i="6" s="1"/>
  <c r="M119" i="6"/>
  <c r="H241" i="6"/>
  <c r="I241" i="6"/>
  <c r="B196" i="6"/>
  <c r="H196" i="6" s="1"/>
  <c r="B116" i="6"/>
  <c r="H116" i="6" s="1"/>
  <c r="B134" i="6"/>
  <c r="H134" i="6" s="1"/>
  <c r="B163" i="6"/>
  <c r="I163" i="6" s="1"/>
  <c r="M129" i="6"/>
  <c r="M111" i="6"/>
  <c r="M202" i="6"/>
  <c r="I99" i="6"/>
  <c r="M91" i="6"/>
  <c r="B92" i="6"/>
  <c r="I92" i="6" s="1"/>
  <c r="M112" i="6"/>
  <c r="B195" i="6"/>
  <c r="H195" i="6" s="1"/>
  <c r="B208" i="6"/>
  <c r="H208" i="6" s="1"/>
  <c r="I208" i="6" s="1"/>
  <c r="B210" i="6"/>
  <c r="H210" i="6" s="1"/>
  <c r="I210" i="6" s="1"/>
  <c r="B121" i="6"/>
  <c r="H121" i="6" s="1"/>
  <c r="M118" i="6"/>
  <c r="B111" i="6"/>
  <c r="B95" i="6"/>
  <c r="I95" i="6" s="1"/>
  <c r="M95" i="6"/>
  <c r="B123" i="6"/>
  <c r="H123" i="6" s="1"/>
  <c r="M116" i="6"/>
  <c r="M90" i="6"/>
  <c r="M67" i="6"/>
  <c r="B62" i="6"/>
  <c r="B72" i="6"/>
  <c r="F134" i="9"/>
  <c r="G135" i="9"/>
  <c r="F132" i="9"/>
  <c r="H156" i="6"/>
  <c r="H139" i="6"/>
  <c r="H92" i="6"/>
  <c r="H118" i="6"/>
  <c r="I103" i="6"/>
  <c r="H127" i="6"/>
  <c r="C62" i="6"/>
  <c r="C70" i="6"/>
  <c r="H152" i="6"/>
  <c r="I159" i="6"/>
  <c r="H175" i="6"/>
  <c r="C85" i="6"/>
  <c r="H145" i="6"/>
  <c r="H149" i="6"/>
  <c r="H162" i="6"/>
  <c r="I116" i="6"/>
  <c r="I130" i="6"/>
  <c r="I190" i="6"/>
  <c r="H178" i="6"/>
  <c r="I120" i="6"/>
  <c r="H141" i="6"/>
  <c r="H155" i="6"/>
  <c r="C76" i="6"/>
  <c r="C83" i="6"/>
  <c r="C82" i="6"/>
  <c r="I119" i="6"/>
  <c r="H136" i="6"/>
  <c r="I185" i="6"/>
  <c r="C84" i="6"/>
  <c r="I106" i="6"/>
  <c r="C87" i="6"/>
  <c r="I195" i="6"/>
  <c r="H148" i="6"/>
  <c r="C80" i="6"/>
  <c r="C86" i="6"/>
  <c r="I133" i="6"/>
  <c r="C78" i="6"/>
  <c r="H90" i="6"/>
  <c r="H163" i="6"/>
  <c r="H174" i="6"/>
  <c r="I131" i="6"/>
  <c r="H182" i="6"/>
  <c r="I126" i="6"/>
  <c r="I176" i="6"/>
  <c r="I167" i="6"/>
  <c r="H89" i="6"/>
  <c r="H102" i="6"/>
  <c r="H186" i="6"/>
  <c r="H142" i="6"/>
  <c r="H151" i="6"/>
  <c r="I187" i="6"/>
  <c r="H154" i="6"/>
  <c r="I96" i="6"/>
  <c r="I189" i="6"/>
  <c r="I196" i="6"/>
  <c r="I202" i="6"/>
  <c r="H146" i="6"/>
  <c r="I153" i="6"/>
  <c r="I94" i="6"/>
  <c r="I169" i="6"/>
  <c r="H157" i="6"/>
  <c r="I181" i="6"/>
  <c r="I132" i="6"/>
  <c r="I168" i="6"/>
  <c r="I191" i="6"/>
  <c r="I135" i="6"/>
  <c r="H143" i="6"/>
  <c r="H104" i="6"/>
  <c r="I105" i="6"/>
  <c r="H117" i="6"/>
  <c r="H158" i="6"/>
  <c r="H144" i="6"/>
  <c r="I115" i="6"/>
  <c r="I129" i="6"/>
  <c r="I134" i="6"/>
  <c r="I177" i="6"/>
  <c r="I198" i="6"/>
  <c r="I192" i="6"/>
  <c r="H147" i="6"/>
  <c r="H166" i="6"/>
  <c r="H100" i="6"/>
  <c r="I184" i="6"/>
  <c r="I188" i="6"/>
  <c r="H194" i="6"/>
  <c r="I171" i="6"/>
  <c r="I199" i="6"/>
  <c r="I110" i="6"/>
  <c r="C65" i="6"/>
  <c r="K23" i="2"/>
  <c r="M84" i="6"/>
  <c r="D86" i="6"/>
  <c r="D83" i="6"/>
  <c r="D81" i="6"/>
  <c r="D79" i="6"/>
  <c r="D78" i="6"/>
  <c r="B80" i="6"/>
  <c r="I80" i="6" s="1"/>
  <c r="B84" i="6"/>
  <c r="I84" i="6" s="1"/>
  <c r="M82" i="6"/>
  <c r="B85" i="6"/>
  <c r="K19" i="2"/>
  <c r="M75" i="6"/>
  <c r="B78" i="6"/>
  <c r="H78" i="6" s="1"/>
  <c r="D70" i="6"/>
  <c r="B75" i="6"/>
  <c r="I75" i="6" s="1"/>
  <c r="M80" i="6"/>
  <c r="B76" i="6"/>
  <c r="H76" i="6" s="1"/>
  <c r="M79" i="6"/>
  <c r="B79" i="6"/>
  <c r="B82" i="6"/>
  <c r="I82" i="6" s="1"/>
  <c r="B66" i="6"/>
  <c r="H66" i="6" s="1"/>
  <c r="M78" i="6"/>
  <c r="C73" i="6"/>
  <c r="M81" i="6"/>
  <c r="M77" i="6"/>
  <c r="C75" i="6"/>
  <c r="C79" i="6"/>
  <c r="B87" i="6"/>
  <c r="I87" i="6" s="1"/>
  <c r="B83" i="6"/>
  <c r="H83" i="6" s="1"/>
  <c r="M87" i="6"/>
  <c r="M76" i="6"/>
  <c r="B86" i="6"/>
  <c r="H86" i="6" s="1"/>
  <c r="B81" i="6"/>
  <c r="C64" i="6"/>
  <c r="C74" i="6"/>
  <c r="M86" i="6"/>
  <c r="M83" i="6"/>
  <c r="H25" i="2"/>
  <c r="C67" i="6"/>
  <c r="C81" i="6"/>
  <c r="B77" i="6"/>
  <c r="C71" i="6"/>
  <c r="C68" i="6"/>
  <c r="D67" i="6"/>
  <c r="C66" i="6"/>
  <c r="K25" i="2"/>
  <c r="D64" i="6"/>
  <c r="C72" i="6"/>
  <c r="K24" i="2"/>
  <c r="K22" i="2"/>
  <c r="C69" i="6"/>
  <c r="H21" i="2"/>
  <c r="H20" i="2"/>
  <c r="H18" i="2"/>
  <c r="K16" i="2"/>
  <c r="K18" i="2"/>
  <c r="H26" i="2"/>
  <c r="D73" i="6"/>
  <c r="D63" i="6"/>
  <c r="B63" i="6"/>
  <c r="B65" i="6"/>
  <c r="M63" i="6"/>
  <c r="K17" i="2"/>
  <c r="K20" i="2"/>
  <c r="D72" i="6"/>
  <c r="B73" i="6"/>
  <c r="B64" i="6"/>
  <c r="M70" i="6"/>
  <c r="M66" i="6"/>
  <c r="M69" i="6"/>
  <c r="K28" i="2"/>
  <c r="D68" i="6"/>
  <c r="B70" i="6"/>
  <c r="B71" i="6"/>
  <c r="M73" i="6"/>
  <c r="M68" i="6"/>
  <c r="D74" i="6"/>
  <c r="B69" i="6"/>
  <c r="M65" i="6"/>
  <c r="M74" i="6"/>
  <c r="K21" i="2"/>
  <c r="H23" i="2"/>
  <c r="D71" i="6"/>
  <c r="B68" i="6"/>
  <c r="B74" i="6"/>
  <c r="M72" i="6"/>
  <c r="M62" i="6"/>
  <c r="M71" i="6"/>
  <c r="H16" i="2"/>
  <c r="K26" i="2"/>
  <c r="K15" i="2"/>
  <c r="D69" i="6"/>
  <c r="D66" i="6"/>
  <c r="B67" i="6"/>
  <c r="M64" i="6"/>
  <c r="K29" i="2"/>
  <c r="K27" i="2"/>
  <c r="H14" i="2"/>
  <c r="H19" i="2"/>
  <c r="H24" i="2"/>
  <c r="D65" i="6"/>
  <c r="C63" i="6"/>
  <c r="K31" i="2" l="1"/>
  <c r="I180" i="6"/>
  <c r="I112" i="6"/>
  <c r="I128" i="6"/>
  <c r="H113" i="6"/>
  <c r="H164" i="6"/>
  <c r="I201" i="6"/>
  <c r="H109" i="6"/>
  <c r="I109" i="6"/>
  <c r="H97" i="6"/>
  <c r="H107" i="6"/>
  <c r="I107" i="6"/>
  <c r="H124" i="6"/>
  <c r="I124" i="6"/>
  <c r="H137" i="6"/>
  <c r="I137" i="6"/>
  <c r="H193" i="6"/>
  <c r="I193" i="6"/>
  <c r="H161" i="6"/>
  <c r="I161" i="6"/>
  <c r="I165" i="6"/>
  <c r="H111" i="6"/>
  <c r="I111" i="6"/>
  <c r="H172" i="6"/>
  <c r="I172" i="6"/>
  <c r="H93" i="6"/>
  <c r="I114" i="6"/>
  <c r="I108" i="6"/>
  <c r="H108" i="6"/>
  <c r="H95" i="6"/>
  <c r="H200" i="6"/>
  <c r="I123" i="6"/>
  <c r="I122" i="6"/>
  <c r="H91" i="6"/>
  <c r="I121" i="6"/>
  <c r="I170" i="6"/>
  <c r="I197" i="6"/>
  <c r="H173" i="6"/>
  <c r="I173" i="6"/>
  <c r="I73" i="6"/>
  <c r="H73" i="6"/>
  <c r="H84" i="6"/>
  <c r="H80" i="6"/>
  <c r="H87" i="6"/>
  <c r="H82" i="6"/>
  <c r="I83" i="6"/>
  <c r="I78" i="6"/>
  <c r="I76" i="6"/>
  <c r="I85" i="6"/>
  <c r="H85" i="6"/>
  <c r="H79" i="6"/>
  <c r="I79" i="6"/>
  <c r="I86" i="6"/>
  <c r="I66" i="6"/>
  <c r="H75" i="6"/>
  <c r="I81" i="6"/>
  <c r="H81" i="6"/>
  <c r="H77" i="6"/>
  <c r="I77" i="6"/>
  <c r="H64" i="6"/>
  <c r="I64" i="6"/>
  <c r="H63" i="6"/>
  <c r="I63" i="6"/>
  <c r="H62" i="6"/>
  <c r="I62" i="6"/>
  <c r="H65" i="6"/>
  <c r="I65" i="6"/>
  <c r="H67" i="6"/>
  <c r="I67" i="6"/>
  <c r="I74" i="6"/>
  <c r="H74" i="6"/>
  <c r="H71" i="6"/>
  <c r="I71" i="6"/>
  <c r="I69" i="6"/>
  <c r="H69" i="6"/>
  <c r="H68" i="6"/>
  <c r="I68" i="6"/>
  <c r="H70" i="6"/>
  <c r="I70" i="6"/>
  <c r="H72" i="6"/>
  <c r="I72" i="6"/>
  <c r="H31" i="2"/>
  <c r="K32" i="2" l="1"/>
  <c r="K33" i="2" s="1"/>
  <c r="J61" i="2" l="1"/>
  <c r="J64"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Gujan Töni</author>
    <author>Wydihof</author>
    <author>Michel Gion</author>
    <author>Gujan Töni (PHOF GR)</author>
  </authors>
  <commentList>
    <comment ref="O9" authorId="0" shapeId="0" xr:uid="{00000000-0006-0000-0200-000004000000}">
      <text>
        <r>
          <rPr>
            <sz val="8"/>
            <color indexed="81"/>
            <rFont val="Tahoma"/>
            <family val="2"/>
          </rPr>
          <t xml:space="preserve">
</t>
        </r>
      </text>
    </comment>
    <comment ref="J12" authorId="1" shapeId="0" xr:uid="{00000000-0006-0000-0200-000003000000}">
      <text>
        <r>
          <rPr>
            <sz val="9"/>
            <color indexed="81"/>
            <rFont val="Tahoma"/>
            <family val="2"/>
          </rPr>
          <t>Mehr- oder Minderverzehr in kg TS pro Tier und Tag</t>
        </r>
        <r>
          <rPr>
            <b/>
            <sz val="9"/>
            <color indexed="81"/>
            <rFont val="Tahoma"/>
            <family val="2"/>
          </rPr>
          <t xml:space="preserve">
</t>
        </r>
      </text>
    </comment>
    <comment ref="E32" authorId="0" shapeId="0" xr:uid="{00000000-0006-0000-0200-00000A000000}">
      <text>
        <r>
          <rPr>
            <sz val="8"/>
            <color indexed="81"/>
            <rFont val="Tahoma"/>
            <family val="2"/>
          </rPr>
          <t xml:space="preserve">5-10% bei Rindvieh möglich
Bei Ziegen oder viel Ökoheu steigt der Krippenverlust.
</t>
        </r>
      </text>
    </comment>
    <comment ref="F40" authorId="0" shapeId="0" xr:uid="{90450161-9064-4349-91F4-EE28C8925416}">
      <text>
        <r>
          <rPr>
            <sz val="8"/>
            <color indexed="81"/>
            <rFont val="Tahoma"/>
            <family val="2"/>
          </rPr>
          <t>Bei Rundballen und Quaderballen ist der Standard 1.4 m3</t>
        </r>
      </text>
    </comment>
    <comment ref="K40" authorId="1" shapeId="0" xr:uid="{E3176A1F-CCAA-475C-8E3F-E56077FB90DC}">
      <text>
        <r>
          <rPr>
            <sz val="9"/>
            <color indexed="81"/>
            <rFont val="Tahoma"/>
            <family val="2"/>
          </rPr>
          <t xml:space="preserve">Rundballen: 120x120 (1.4 m3) =700 kg/ Balle
Quaderballen: 170x90x80 (1.2 m3) = 700 kg/Balle
</t>
        </r>
      </text>
    </comment>
    <comment ref="B52" authorId="2" shapeId="0" xr:uid="{17F65665-6D74-47A7-A74D-9CDCED081723}">
      <text>
        <r>
          <rPr>
            <b/>
            <sz val="9"/>
            <color indexed="81"/>
            <rFont val="Segoe UI"/>
            <family val="2"/>
          </rPr>
          <t>Michel Gion:</t>
        </r>
        <r>
          <rPr>
            <sz val="9"/>
            <color indexed="81"/>
            <rFont val="Segoe UI"/>
            <family val="2"/>
          </rPr>
          <t xml:space="preserve">
Kleinballen
Rundballen klein, mittel oder gross
Quaderballen klein oder gross
nach Wirtskalender und Raumgewichte Ressort Tierhaltung</t>
        </r>
      </text>
    </comment>
    <comment ref="K52" authorId="1" shapeId="0" xr:uid="{B9B78295-FBC1-4E96-A5ED-5AD97AEDF7BF}">
      <text>
        <r>
          <rPr>
            <sz val="9"/>
            <color indexed="81"/>
            <rFont val="Tahoma"/>
            <family val="2"/>
          </rPr>
          <t xml:space="preserve">Rundballen (klein, mittel, gross): 142.86 kg/m3
Quaderballen klein: 164.29 kg/m3
Quaderballen gross: 190 kg/m3
</t>
        </r>
      </text>
    </comment>
    <comment ref="I54" authorId="3" shapeId="0" xr:uid="{02BD8563-030D-439A-87BE-24A069A63C93}">
      <text>
        <r>
          <rPr>
            <sz val="9"/>
            <color indexed="81"/>
            <rFont val="Segoe UI"/>
            <family val="2"/>
          </rPr>
          <t>Volumen inkl. Heubelüftungsroste</t>
        </r>
      </text>
    </comment>
    <comment ref="K54" authorId="1" shapeId="0" xr:uid="{7BF2D4F7-4BB3-41DE-9048-EC30BCBD7B01}">
      <text>
        <r>
          <rPr>
            <sz val="9"/>
            <color indexed="81"/>
            <rFont val="Tahoma"/>
            <family val="2"/>
          </rPr>
          <t>Es wird kein Nutzvolumen ausgewiesen, sondern ein Volumen inklusive Heubelüftungsröste.
Abhängig von:
Einlagerungstechnik (Heukran=weniger)
Stockhöhe (hoch= dichter)
Einfuhrfeuchte (feucht = dichter)
Stadium Futter (jung = dichter)
Enfüllhöhe pro Mal (viel = dichter)</t>
        </r>
      </text>
    </comment>
    <comment ref="K55" authorId="1" shapeId="0" xr:uid="{A51EC2B1-F052-4FEB-88BC-E9B58D0B5BEE}">
      <text>
        <r>
          <rPr>
            <sz val="9"/>
            <color indexed="81"/>
            <rFont val="Tahoma"/>
            <family val="2"/>
          </rPr>
          <t>Abhängig von:
Stockhöhe (hoch= dichter)
Einfuhrfeuchte (feucht = dichter)
Stadium Futter (jung = dichter)
einfüllhöhe pro Mal (viel = dichter)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Michel Gion</author>
  </authors>
  <commentList>
    <comment ref="A22" authorId="0" shapeId="0" xr:uid="{00000000-0006-0000-0A00-000001000000}">
      <text>
        <r>
          <rPr>
            <b/>
            <sz val="9"/>
            <color indexed="81"/>
            <rFont val="Segoe UI"/>
            <family val="2"/>
          </rPr>
          <t>Michel Gion:</t>
        </r>
        <r>
          <rPr>
            <sz val="9"/>
            <color indexed="81"/>
            <rFont val="Segoe UI"/>
            <family val="2"/>
          </rPr>
          <t xml:space="preserve">
Bei der Milchkuh wird der Anteil an Kraftfutter und Raufutter zusammengerechnet (siehe Wegleitung Suisse-Bilanz). 
GRUD 17: 7'500 kg Jahresleistung, Grundfutterverzehr 56 dt TS je Jahr, Annahme 800 kg Kraftfutter pro Kuh (15.3 kg TS Raufutter je Tag)
Suisse Bilanz: 7'500 kg Jahresleistung, Grundfutterverzehr 65.7 dt TS je Jahr (18 kg TS je Tag), ohne Kraftfuttereinsatz
GRUD 17: Mittlere Jahresmilchleistung: 7'500 kg,; mittleres Lebendgewicht ausgewachsen: 660 kg. Je 1000 kg geringerer Leistung verringern sich die Ausscheidungen um 5% N, 7% P, 3% K, 7% Mg, 6% Ca und der Grundfutterverzehr uzm 1.5%; je 1000 kg höherer Leistung erhöhen sich die Ausscheidungen und der Grundfutterverzehr im gleichen Verhältnis. 
</t>
        </r>
      </text>
    </comment>
    <comment ref="A24" authorId="0" shapeId="0" xr:uid="{00000000-0006-0000-0A00-000002000000}">
      <text>
        <r>
          <rPr>
            <b/>
            <sz val="9"/>
            <color indexed="81"/>
            <rFont val="Segoe UI"/>
            <family val="2"/>
          </rPr>
          <t>Michel Gion:</t>
        </r>
        <r>
          <rPr>
            <sz val="9"/>
            <color indexed="81"/>
            <rFont val="Segoe UI"/>
            <family val="2"/>
          </rPr>
          <t xml:space="preserve">
Die Kälber bis 160 Tage und 160-365 Tage werden unterschieden (nicht wie GRUD 17 und der Vollzugshilfe Gewässerschutz, sondern wie in der Nährstoffbilanz 9.6 und der Landwirtschaftlichen Begriffsverordnung) und werden für TS-Verzehr, Stroh-Bedarf und Anfalls Mist und Gülle wie folgt angenommen: 
Grundfutterverzehr nach NSB 9.6 6.0 dt TS / Jahr respektive 20.2 dt TS / Jahr.
Strohbedarf: 1-jährig/0.23*0.13 
Hofdüngeranfall nach Wirtskalender (Seite 672) 3.8 m3 Vollgülle und 3.6 tonnen Laufstallmist / Jahr
</t>
        </r>
      </text>
    </comment>
    <comment ref="A25" authorId="0" shapeId="0" xr:uid="{00000000-0006-0000-0A00-000003000000}">
      <text>
        <r>
          <rPr>
            <b/>
            <sz val="9"/>
            <color indexed="81"/>
            <rFont val="Segoe UI"/>
            <family val="2"/>
          </rPr>
          <t>Michel Gion:</t>
        </r>
        <r>
          <rPr>
            <sz val="9"/>
            <color indexed="81"/>
            <rFont val="Segoe UI"/>
            <family val="2"/>
          </rPr>
          <t xml:space="preserve">
Die Kälber bis 160 Tage und 160-365 Tage werden unterschieden (nicht wie GRUD 17 und der Vollzugshilfe Gewässerschutz, sondern wie in der Nährstoffbilanz 9.6 und der Landwirtschaftlichen Begriffsverordnung) und werden für TS-Verzehr, Stroh-Bedarf und Anfalls Mist und Gülle wie folgt angenommen: 
Grundfutterverzehr nach NSB 9.6 6.0 dt TS / Jahr respektive 20.2 dt TS / Jahr.
Strohbedarf: 1-jährig/0.23*0.33 
Hofdüngeranfall nach Wirtskalender (Seite 672) 5.7 m3 Vollgülle und 5.5 tonnen Laufstallmist / Jahr</t>
        </r>
      </text>
    </comment>
    <comment ref="E26" authorId="0" shapeId="0" xr:uid="{00000000-0006-0000-0A00-000004000000}">
      <text>
        <r>
          <rPr>
            <b/>
            <sz val="9"/>
            <color indexed="81"/>
            <rFont val="Segoe UI"/>
            <family val="2"/>
          </rPr>
          <t>Michel Gion:</t>
        </r>
        <r>
          <rPr>
            <sz val="9"/>
            <color indexed="81"/>
            <rFont val="Segoe UI"/>
            <family val="2"/>
          </rPr>
          <t xml:space="preserve">
Der TS-Verzehr in Tab. 2 der GRUD  beträgt 22 dt TS pro Jahr. in Fussnote A2 (Anhang 2) wird ein TS-Verzehr von 30 dt aufgeführt, für Rinder, die mit 24 Mte abkalben. Es wird der Durchschnitt dieser Normen verwendet. Keine Änderung gegenüber Grudaf 09.</t>
        </r>
      </text>
    </comment>
    <comment ref="A28" authorId="0" shapeId="0" xr:uid="{00000000-0006-0000-0A00-000005000000}">
      <text>
        <r>
          <rPr>
            <b/>
            <sz val="9"/>
            <color indexed="81"/>
            <rFont val="Segoe UI"/>
            <family val="2"/>
          </rPr>
          <t>Michel Gion:</t>
        </r>
        <r>
          <rPr>
            <sz val="9"/>
            <color indexed="81"/>
            <rFont val="Segoe UI"/>
            <family val="2"/>
          </rPr>
          <t xml:space="preserve">
Nach GRUD 17: Mast von 60 bis ca. 220 kg mit einem mittleren Tageszuwachs von 1400 g; ca. 3.3 Umtriebe pro Mastkälberplatz und Jahr. GVE mit 0.13 nach NSB 9.6 angenommen
Gülle wird nach Vollzugshilfe Gewässerschutz GR angenommen, da in GRUD 17 keine Gülle bei Mastkälber anfällt.</t>
        </r>
      </text>
    </comment>
    <comment ref="H28" authorId="0" shapeId="0" xr:uid="{00000000-0006-0000-0A00-000006000000}">
      <text>
        <r>
          <rPr>
            <b/>
            <sz val="9"/>
            <color indexed="81"/>
            <rFont val="Segoe UI"/>
            <family val="2"/>
          </rPr>
          <t>Michel Gion:</t>
        </r>
        <r>
          <rPr>
            <sz val="9"/>
            <color indexed="81"/>
            <rFont val="Segoe UI"/>
            <family val="2"/>
          </rPr>
          <t xml:space="preserve">
Dieser Wert stammt aus der Vollzugshilfe GR, in GRUD 17 ist kein Gülleanfall für Mastkälberplätze vorgesehen.</t>
        </r>
      </text>
    </comment>
    <comment ref="A29" authorId="0" shapeId="0" xr:uid="{00000000-0006-0000-0A00-000007000000}">
      <text>
        <r>
          <rPr>
            <b/>
            <sz val="9"/>
            <color indexed="81"/>
            <rFont val="Segoe UI"/>
            <family val="2"/>
          </rPr>
          <t>Michel Gion:</t>
        </r>
        <r>
          <rPr>
            <sz val="9"/>
            <color indexed="81"/>
            <rFont val="Segoe UI"/>
            <family val="2"/>
          </rPr>
          <t xml:space="preserve">
Für Stallbau wird automatisch die Kategorie "Natura-Beef" (Gewichtsklasse 200-250 kg Schlachtgewicht) ausgewählt. 
Weil GRUD 17 keine Unterscheidung der Tierkategorien macht, wird nach den Datengrundlagen von der Nährstoffbilanz 9.6 gearbeitet.
</t>
        </r>
      </text>
    </comment>
    <comment ref="A30" authorId="0" shapeId="0" xr:uid="{00000000-0006-0000-0A00-000008000000}">
      <text>
        <r>
          <rPr>
            <b/>
            <sz val="9"/>
            <color indexed="81"/>
            <rFont val="Segoe UI"/>
            <family val="2"/>
          </rPr>
          <t>Michel Gion:</t>
        </r>
        <r>
          <rPr>
            <sz val="9"/>
            <color indexed="81"/>
            <rFont val="Segoe UI"/>
            <family val="2"/>
          </rPr>
          <t xml:space="preserve">
Für Stallbau wird automatisch die Kategorie "Natura-Beef" (Gewichtsklasse 200-250 kg Schlachtgewicht) ausgewählt. 
Weil GRUD 17 keine Unterscheidung der Tierkategorien macht, wird nach den Datengrundlagen von der Nährstoffbilanz 9.6 gearbeitet.
</t>
        </r>
      </text>
    </comment>
    <comment ref="A31" authorId="0" shapeId="0" xr:uid="{00000000-0006-0000-0A00-000009000000}">
      <text>
        <r>
          <rPr>
            <b/>
            <sz val="9"/>
            <color indexed="81"/>
            <rFont val="Segoe UI"/>
            <family val="2"/>
          </rPr>
          <t>Michel Gion:</t>
        </r>
        <r>
          <rPr>
            <sz val="9"/>
            <color indexed="81"/>
            <rFont val="Segoe UI"/>
            <family val="2"/>
          </rPr>
          <t xml:space="preserve">
In GRUD 17 nur TS-Verzehr bekannt, deshalb Hofdüngeranfall von VZGR20 / GRUD 09 übernommen.</t>
        </r>
      </text>
    </comment>
    <comment ref="A32" authorId="0" shapeId="0" xr:uid="{00000000-0006-0000-0A00-00000A000000}">
      <text>
        <r>
          <rPr>
            <b/>
            <sz val="9"/>
            <color indexed="81"/>
            <rFont val="Segoe UI"/>
            <family val="2"/>
          </rPr>
          <t>Michel Gion:</t>
        </r>
        <r>
          <rPr>
            <sz val="9"/>
            <color indexed="81"/>
            <rFont val="Segoe UI"/>
            <family val="2"/>
          </rPr>
          <t xml:space="preserve">
Für Rindviehmast und Stallbau Tierkategorien der Aufzuchtrinder verwenden. Bei reiner Munimast verwendet man die Tierkategorie Rindviehmast int. 65-530 kg.
Dieses System nur für Fresser oder Kälber von Direktvermarktung verwenden.
Futterverzehr GRUD 17 und NSB 9.6 stimmen nicht überein.
Achtung bei Vergleich mit VZGR, dort wurde ein Gülleanfall von 1.5 m3 pro Tier und Jahr angenommen, GRUD17 nimmt einen Gülleanfall von 4.5 m3 an.</t>
        </r>
      </text>
    </comment>
    <comment ref="A33" authorId="0" shapeId="0" xr:uid="{00000000-0006-0000-0A00-00000B000000}">
      <text>
        <r>
          <rPr>
            <b/>
            <sz val="9"/>
            <color indexed="81"/>
            <rFont val="Segoe UI"/>
            <family val="2"/>
          </rPr>
          <t>Michel Gion:</t>
        </r>
        <r>
          <rPr>
            <sz val="9"/>
            <color indexed="81"/>
            <rFont val="Segoe UI"/>
            <family val="2"/>
          </rPr>
          <t xml:space="preserve">
Für Rindviehmast und Stallbau Tierkategorien der Aufzuchtrinder verwenden. Bei reiner Munimast verwendet man die Tierkategorie Rindviehmast int. 65-530 kg.
Intensivmast von ca. 65 auf 520 kg bei einem mittleren Tageszuwachs von ca. 1400 g (Munis). Werden die Tiere erst nach dem Absetzen eingestallt, kann für die ganze Mastperiode mit den Werten für Tiere älter als 160 Tage gerechnet werden. Für Vormastkälber können die gleichen WErte wie für Mastkäber verwendet werden.
Am besten alle Tierkategorien mit Plätzen von Kälber 160-365 Tage zu Rinder 1-2 jährig reinnehmen, sonst ergibt der GVE Faktor keine Sinn.
Futterverzehr GRUD 17 und NSB 9.6 stimmen nicht überein.
</t>
        </r>
      </text>
    </comment>
    <comment ref="A34" authorId="0" shapeId="0" xr:uid="{00000000-0006-0000-0A00-00000C000000}">
      <text>
        <r>
          <rPr>
            <b/>
            <sz val="9"/>
            <color indexed="81"/>
            <rFont val="Segoe UI"/>
            <family val="2"/>
          </rPr>
          <t>Michel Gion:</t>
        </r>
        <r>
          <rPr>
            <sz val="9"/>
            <color indexed="81"/>
            <rFont val="Segoe UI"/>
            <family val="2"/>
          </rPr>
          <t xml:space="preserve">
Für Rindviehmast und Stallbau Tierkategorien der Aufzuchtrinder verwenden. Bei reiner Munimast verwendet man die Tierkategorie Rindviehmast int. 65-530 kg.
Weidemast mit ein oder zwei Weideperioden (ca. 17 bzw 22 Monate), Geburt bis Endgewicht ca. 530 kg.
Alle Tierkategorien von über 160-tägig bis über 1-jährige Rinder reinnehmen, sonst macht der GVE-Faktor keinen Sinn.
Futterverzehr GRUD 17 und NSB 9.6 stimmen nicht überein.
Hofdüngeranfall GRUD 17 und VZGR stimmen nicht überein.
</t>
        </r>
      </text>
    </comment>
    <comment ref="A35" authorId="0" shapeId="0" xr:uid="{00000000-0006-0000-0A00-00000D000000}">
      <text>
        <r>
          <rPr>
            <b/>
            <sz val="9"/>
            <color indexed="81"/>
            <rFont val="Segoe UI"/>
            <family val="2"/>
          </rPr>
          <t>Michel Gion:</t>
        </r>
        <r>
          <rPr>
            <sz val="9"/>
            <color indexed="81"/>
            <rFont val="Segoe UI"/>
            <family val="2"/>
          </rPr>
          <t xml:space="preserve">
Equiden Widerristhöhe &lt; 148 cm, über 900 Tage alt
GVE-Faktor nach landwirtschaftlicher Begriffsverordnung</t>
        </r>
      </text>
    </comment>
    <comment ref="A36" authorId="0" shapeId="0" xr:uid="{00000000-0006-0000-0A00-00000E000000}">
      <text>
        <r>
          <rPr>
            <b/>
            <sz val="9"/>
            <color indexed="81"/>
            <rFont val="Segoe UI"/>
            <family val="2"/>
          </rPr>
          <t>Michel Gion:</t>
        </r>
        <r>
          <rPr>
            <sz val="9"/>
            <color indexed="81"/>
            <rFont val="Segoe UI"/>
            <family val="2"/>
          </rPr>
          <t xml:space="preserve">
Equiden Widerristhöhe &lt; 148 cm über 180 Tage bis 900 Tage alt
GVE-Faktor nach landwirtschaftlicher Begriffsverordnung</t>
        </r>
      </text>
    </comment>
    <comment ref="A37" authorId="0" shapeId="0" xr:uid="{00000000-0006-0000-0A00-00000F000000}">
      <text>
        <r>
          <rPr>
            <b/>
            <sz val="9"/>
            <color indexed="81"/>
            <rFont val="Segoe UI"/>
            <family val="2"/>
          </rPr>
          <t>Michel Gion:</t>
        </r>
        <r>
          <rPr>
            <sz val="9"/>
            <color indexed="81"/>
            <rFont val="Segoe UI"/>
            <family val="2"/>
          </rPr>
          <t xml:space="preserve">
Equiden Widerristhöhe &gt; 148 cm, über 900 Tage alt
GVE-Faktor nach landwirtschaftlicher Begriffsverordnung
</t>
        </r>
      </text>
    </comment>
    <comment ref="A38" authorId="0" shapeId="0" xr:uid="{00000000-0006-0000-0A00-000010000000}">
      <text>
        <r>
          <rPr>
            <b/>
            <sz val="9"/>
            <color indexed="81"/>
            <rFont val="Segoe UI"/>
            <family val="2"/>
          </rPr>
          <t>Michel Gion:</t>
        </r>
        <r>
          <rPr>
            <sz val="9"/>
            <color indexed="81"/>
            <rFont val="Segoe UI"/>
            <family val="2"/>
          </rPr>
          <t xml:space="preserve">
Das im Frühling geborene Fohlen bleibt bis im Herbst bei der Stute. Bleibt es länger auf dem Betrieb, muss es separat berechnet werden. Weil der Mehrbedarf der Stute gegenüber Reit- und Arbeitspferden in der Regel durch Kraftfutter gedeckt wird, wird der Grundfutterverzehr nicht erhöht. Wird als Kraftfutter nur Hafer (maximal 700 kg pro jahr) eingesetzt, erhöht sich der Grundfutterverzehr um 5 dt.
Equiden Widerristhöhe &gt; 148 cm, über 900 Tage alt (0.7 GVE) + Equiden Widerristhöhe &gt; 148 cm bis 180 Tage alt (0.3 GVE)</t>
        </r>
      </text>
    </comment>
    <comment ref="A39" authorId="0" shapeId="0" xr:uid="{00000000-0006-0000-0A00-000011000000}">
      <text>
        <r>
          <rPr>
            <b/>
            <sz val="9"/>
            <color indexed="81"/>
            <rFont val="Segoe UI"/>
            <family val="2"/>
          </rPr>
          <t>Michel Gion:</t>
        </r>
        <r>
          <rPr>
            <sz val="9"/>
            <color indexed="81"/>
            <rFont val="Segoe UI"/>
            <family val="2"/>
          </rPr>
          <t xml:space="preserve">
Equiden Widerristhöhe &gt; 148 cm, über 180 Tage bis 900 Tage alt</t>
        </r>
      </text>
    </comment>
    <comment ref="A40" authorId="0" shapeId="0" xr:uid="{00000000-0006-0000-0A00-000012000000}">
      <text>
        <r>
          <rPr>
            <b/>
            <sz val="9"/>
            <color indexed="81"/>
            <rFont val="Segoe UI"/>
            <family val="2"/>
          </rPr>
          <t>Michel Gion:</t>
        </r>
        <r>
          <rPr>
            <sz val="9"/>
            <color indexed="81"/>
            <rFont val="Segoe UI"/>
            <family val="2"/>
          </rPr>
          <t xml:space="preserve">
In GRUD17 nicht mehr separat erfasst, deshalb wird derselbe Futterverzehr von Ziegen übernommen.
</t>
        </r>
      </text>
    </comment>
    <comment ref="A41" authorId="0" shapeId="0" xr:uid="{00000000-0006-0000-0A00-000013000000}">
      <text>
        <r>
          <rPr>
            <b/>
            <sz val="9"/>
            <color indexed="81"/>
            <rFont val="Segoe UI"/>
            <family val="2"/>
          </rPr>
          <t>Michel Gion:</t>
        </r>
        <r>
          <rPr>
            <sz val="9"/>
            <color indexed="81"/>
            <rFont val="Segoe UI"/>
            <family val="2"/>
          </rPr>
          <t xml:space="preserve">
Hier sind Mutterschafe gemeint.
Die Werte beziehen sich auf eine relativ intensive Produktion mit Wiesenfutter, das ähnlich ist wie für die Milchproduktion. Bei extensiver Haltung mit Wiesenfutter in fortgeschrittenem Nutzungsstadium beträgt der Anfall 12 kg N, 2 kg P, 17 kg K, 2 kg Mg und 7 kg Ca und der Grundfutterverzehr 8 dt pro Jahr.</t>
        </r>
      </text>
    </comment>
    <comment ref="E42" authorId="0" shapeId="0" xr:uid="{00000000-0006-0000-0A00-000014000000}">
      <text>
        <r>
          <rPr>
            <b/>
            <sz val="9"/>
            <color indexed="81"/>
            <rFont val="Segoe UI"/>
            <family val="2"/>
          </rPr>
          <t>Michel Gion:</t>
        </r>
        <r>
          <rPr>
            <sz val="9"/>
            <color indexed="81"/>
            <rFont val="Segoe UI"/>
            <family val="2"/>
          </rPr>
          <t xml:space="preserve">
Nach GRUD 17 wären es 9 dt TS / Jahr, dieser Wert musste aber wieder auf den Wert von GRUD 09 (11 dt TS / Jahr) geändert werden.</t>
        </r>
      </text>
    </comment>
    <comment ref="A43" authorId="0" shapeId="0" xr:uid="{00000000-0006-0000-0A00-000015000000}">
      <text>
        <r>
          <rPr>
            <b/>
            <sz val="9"/>
            <color indexed="81"/>
            <rFont val="Segoe UI"/>
            <family val="2"/>
          </rPr>
          <t>Michel Gion:</t>
        </r>
        <r>
          <rPr>
            <sz val="9"/>
            <color indexed="81"/>
            <rFont val="Segoe UI"/>
            <family val="2"/>
          </rPr>
          <t xml:space="preserve">
Hier sind Mutterziegen gemeint.</t>
        </r>
      </text>
    </comment>
    <comment ref="A48" authorId="0" shapeId="0" xr:uid="{00000000-0006-0000-0A00-000019000000}">
      <text>
        <r>
          <rPr>
            <b/>
            <sz val="9"/>
            <color indexed="81"/>
            <rFont val="Segoe UI"/>
            <family val="2"/>
          </rPr>
          <t>Michel Gion:</t>
        </r>
        <r>
          <rPr>
            <sz val="9"/>
            <color indexed="81"/>
            <rFont val="Segoe UI"/>
            <family val="2"/>
          </rPr>
          <t xml:space="preserve">
Achtung auf den Stroh-Bedarf.</t>
        </r>
      </text>
    </comment>
    <comment ref="A49" authorId="0" shapeId="0" xr:uid="{00000000-0006-0000-0A00-00001A000000}">
      <text>
        <r>
          <rPr>
            <b/>
            <sz val="9"/>
            <color indexed="81"/>
            <rFont val="Segoe UI"/>
            <family val="2"/>
          </rPr>
          <t>Michel Gion:</t>
        </r>
        <r>
          <rPr>
            <sz val="9"/>
            <color indexed="81"/>
            <rFont val="Segoe UI"/>
            <family val="2"/>
          </rPr>
          <t xml:space="preserve">
Achtung auf den Stroh-Bedarf.</t>
        </r>
      </text>
    </comment>
    <comment ref="A50" authorId="0" shapeId="0" xr:uid="{00000000-0006-0000-0A00-00001B000000}">
      <text>
        <r>
          <rPr>
            <b/>
            <sz val="9"/>
            <color indexed="81"/>
            <rFont val="Segoe UI"/>
            <family val="2"/>
          </rPr>
          <t>Michel Gion:</t>
        </r>
        <r>
          <rPr>
            <sz val="9"/>
            <color indexed="81"/>
            <rFont val="Segoe UI"/>
            <family val="2"/>
          </rPr>
          <t xml:space="preserve">
Achtung auf den Stroh-Bedarf.</t>
        </r>
      </text>
    </comment>
    <comment ref="A51" authorId="0" shapeId="0" xr:uid="{00000000-0006-0000-0A00-00001C000000}">
      <text>
        <r>
          <rPr>
            <b/>
            <sz val="9"/>
            <color indexed="81"/>
            <rFont val="Segoe UI"/>
            <family val="2"/>
          </rPr>
          <t>Michel Gion:</t>
        </r>
        <r>
          <rPr>
            <sz val="9"/>
            <color indexed="81"/>
            <rFont val="Segoe UI"/>
            <family val="2"/>
          </rPr>
          <t xml:space="preserve">
Achtung auf den Stroh-Bedarf.</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Michel Gion</author>
  </authors>
  <commentList>
    <comment ref="A43" authorId="0" shapeId="0" xr:uid="{00000000-0006-0000-0D00-000001000000}">
      <text>
        <r>
          <rPr>
            <b/>
            <sz val="9"/>
            <color indexed="81"/>
            <rFont val="Segoe UI"/>
            <family val="2"/>
          </rPr>
          <t>Michel Gion:</t>
        </r>
        <r>
          <rPr>
            <sz val="9"/>
            <color indexed="81"/>
            <rFont val="Segoe UI"/>
            <family val="2"/>
          </rPr>
          <t xml:space="preserve">
Für Stallbau wird automatisch die Kategorie "Natura-Beef" (Gewichtsklasse 200-250 kg Schlachtgewicht) ausgewählt. 
Weil GRUD 17 keine Unterscheidung der Tierkategorien macht, wird nach den Datengrundlagen von der Nährstoffbilanz 9.6 gearbeitet.
</t>
        </r>
      </text>
    </comment>
    <comment ref="A44" authorId="0" shapeId="0" xr:uid="{00000000-0006-0000-0D00-000002000000}">
      <text>
        <r>
          <rPr>
            <b/>
            <sz val="9"/>
            <color indexed="81"/>
            <rFont val="Segoe UI"/>
            <family val="2"/>
          </rPr>
          <t>Michel Gion:</t>
        </r>
        <r>
          <rPr>
            <sz val="9"/>
            <color indexed="81"/>
            <rFont val="Segoe UI"/>
            <family val="2"/>
          </rPr>
          <t xml:space="preserve">
Für Stallbau wird automatisch die Kategorie "Natura-Beef" (Gewichtsklasse 200-250 kg Schlachtgewicht) ausgewählt. 
Weil GRUD 17 keine Unterscheidung der Tierkategorien macht, wird nach den Datengrundlagen von der Nährstoffbilanz 9.6 gearbeitet.
</t>
        </r>
      </text>
    </comment>
    <comment ref="A46" authorId="0" shapeId="0" xr:uid="{00000000-0006-0000-0D00-000003000000}">
      <text>
        <r>
          <rPr>
            <b/>
            <sz val="9"/>
            <color indexed="81"/>
            <rFont val="Segoe UI"/>
            <family val="2"/>
          </rPr>
          <t>Michel Gion:</t>
        </r>
        <r>
          <rPr>
            <sz val="9"/>
            <color indexed="81"/>
            <rFont val="Segoe UI"/>
            <family val="2"/>
          </rPr>
          <t xml:space="preserve">
Für Rindviehmast und Stallbau Tierkategorien der Aufzuchtrinder verwenden. Bei reiner Munimast verwendet man die Tierkategorie Rindviehmast int. 65-530 kg.
Dieses System nur für Fresser oder Kälber von Direktvermarktung verwenden.
Futterverzehr GRUD 17 und NSB 9.6 stimmen nicht überein.
Achtung bei Vergleich mit VZGR, dort wurde ein Gülleanfall von 1.5 m3 pro Tier und Jahr angenommen, GRUD17 nimmt einen Gülleanfall von 4.5 m3 an.</t>
        </r>
      </text>
    </comment>
    <comment ref="A47" authorId="0" shapeId="0" xr:uid="{00000000-0006-0000-0D00-000004000000}">
      <text>
        <r>
          <rPr>
            <b/>
            <sz val="9"/>
            <color indexed="81"/>
            <rFont val="Segoe UI"/>
            <family val="2"/>
          </rPr>
          <t>Michel Gion:</t>
        </r>
        <r>
          <rPr>
            <sz val="9"/>
            <color indexed="81"/>
            <rFont val="Segoe UI"/>
            <family val="2"/>
          </rPr>
          <t xml:space="preserve">
Für Rindviehmast und Stallbau Tierkategorien der Aufzuchtrinder verwenden. Bei reiner Munimast verwendet man die Tierkategorie Rindviehmast int. 65-530 kg.
Intensivmast von ca. 65 auf 520 kg bei einem mittleren Tageszuwachs von ca. 1400 g (Munis). Werden die Tiere erst nach dem Absetzen eingestallt, kann für die ganze Mastperiode mit den Werten für Tiere älter als 160 Tage gerechnet werden. Für Vormastkälber können die gleichen WErte wie für Mastkäber verwendet werden.
Am besten alle Tierkategorien mit Plätzen von Kälber 160-365 Tage zu Rinder 1-2 jährig reinnehmen, sonst ergibt der GVE Faktor keine Sinn.
Futterverzehr GRUD 17 und NSB 9.6 stimmen nicht überein.
</t>
        </r>
      </text>
    </comment>
    <comment ref="A48" authorId="0" shapeId="0" xr:uid="{00000000-0006-0000-0D00-000005000000}">
      <text>
        <r>
          <rPr>
            <b/>
            <sz val="9"/>
            <color indexed="81"/>
            <rFont val="Segoe UI"/>
            <family val="2"/>
          </rPr>
          <t>Michel Gion:</t>
        </r>
        <r>
          <rPr>
            <sz val="9"/>
            <color indexed="81"/>
            <rFont val="Segoe UI"/>
            <family val="2"/>
          </rPr>
          <t xml:space="preserve">
Für Rindviehmast und Stallbau Tierkategorien der Aufzuchtrinder verwenden. Bei reiner Munimast verwendet man die Tierkategorie Rindviehmast int. 65-530 kg.
Weidemast mit ein oder zwei Weideperioden (ca. 17 bzw 22 Monate), Geburt bis Endgewicht ca. 530 kg.
Alle Tierkategorien von über 160-tägig bis über 1-jährige Rinder reinnehmen, sonst macht der GVE-Faktor keinen Sinn.
Futterverzehr GRUD 17 und NSB 9.6 stimmen nicht überein.
Hofdüngeranfall GRUD 17 und VZGR stimmen nicht überein.
</t>
        </r>
      </text>
    </comment>
  </commentList>
</comments>
</file>

<file path=xl/sharedStrings.xml><?xml version="1.0" encoding="utf-8"?>
<sst xmlns="http://schemas.openxmlformats.org/spreadsheetml/2006/main" count="898" uniqueCount="539">
  <si>
    <t>Anzahl</t>
  </si>
  <si>
    <t>GVE</t>
  </si>
  <si>
    <t>Mutterkühe</t>
  </si>
  <si>
    <t>Rinder 1 - 2 jährig</t>
  </si>
  <si>
    <t>Rinder &gt; 2 jährig</t>
  </si>
  <si>
    <t>Grundfutterverzehr</t>
  </si>
  <si>
    <t>Tage</t>
  </si>
  <si>
    <t>Total</t>
  </si>
  <si>
    <t>Kategorie</t>
  </si>
  <si>
    <t>Tabellen für Bezüge</t>
  </si>
  <si>
    <t>Stallsysteme</t>
  </si>
  <si>
    <t>Kategorie/System</t>
  </si>
  <si>
    <t>Miku</t>
  </si>
  <si>
    <t>Muku</t>
  </si>
  <si>
    <t>Azk</t>
  </si>
  <si>
    <t>Rj</t>
  </si>
  <si>
    <t>Ra</t>
  </si>
  <si>
    <t>Stroh</t>
  </si>
  <si>
    <t>Bedarf Stroh</t>
  </si>
  <si>
    <t>kg Tag</t>
  </si>
  <si>
    <t>Anfall Gülle</t>
  </si>
  <si>
    <t>m3 Jahr</t>
  </si>
  <si>
    <t>Anfall Mist</t>
  </si>
  <si>
    <t>t Jahr</t>
  </si>
  <si>
    <t>Faktor Stroh</t>
  </si>
  <si>
    <t>Faktor Gülle</t>
  </si>
  <si>
    <t>Faktor Mist</t>
  </si>
  <si>
    <t>BasisAbkürzung</t>
  </si>
  <si>
    <t>Grundwerte Milchkühe, Mutterkühe</t>
  </si>
  <si>
    <t>total</t>
  </si>
  <si>
    <t>Zone</t>
  </si>
  <si>
    <t>TS Gehalt</t>
  </si>
  <si>
    <t>Stock belüftet</t>
  </si>
  <si>
    <t>Stock unbelüftet</t>
  </si>
  <si>
    <t xml:space="preserve">GVE </t>
  </si>
  <si>
    <t>Faktor</t>
  </si>
  <si>
    <t>Dürrfutter</t>
  </si>
  <si>
    <t>Silage</t>
  </si>
  <si>
    <t>Faktor / ha</t>
  </si>
  <si>
    <t>kg /Jahr</t>
  </si>
  <si>
    <t>Lager- und Krippenverluste</t>
  </si>
  <si>
    <t xml:space="preserve">Milchleistung </t>
  </si>
  <si>
    <t>GVE-Faktor</t>
  </si>
  <si>
    <t>TS-Verzehr</t>
  </si>
  <si>
    <t>Auswahlliste Zone / Faktor für anrechenbares Raumprogramm</t>
  </si>
  <si>
    <t>dt/Jahr</t>
  </si>
  <si>
    <t>kg/Tag</t>
  </si>
  <si>
    <t>Schweine 10-40% eingestreut</t>
  </si>
  <si>
    <t>Schweine 40-60% eingestreut</t>
  </si>
  <si>
    <t>Schweine 60-90% eingestreut</t>
  </si>
  <si>
    <t>Schweine nur Mist</t>
  </si>
  <si>
    <t>Zuchtstier</t>
  </si>
  <si>
    <t>Maultiere, Maulesel</t>
  </si>
  <si>
    <t>Ponies, Kleinpferde und Esel</t>
  </si>
  <si>
    <t>Pferd &gt; 3-jährig</t>
  </si>
  <si>
    <t>Fohlen 1/2 - 3-jährig</t>
  </si>
  <si>
    <t>Milchziege</t>
  </si>
  <si>
    <t>Schaf</t>
  </si>
  <si>
    <t>Milchschaf</t>
  </si>
  <si>
    <t xml:space="preserve">Mastschwein 25 - 100 kg LG, Remonten </t>
  </si>
  <si>
    <t xml:space="preserve">Galtsau </t>
  </si>
  <si>
    <t xml:space="preserve">Ferkel abgesetzt </t>
  </si>
  <si>
    <t xml:space="preserve">Säugende Zuchtsau </t>
  </si>
  <si>
    <t>Zuchteber</t>
  </si>
  <si>
    <t>Bison &gt; 3-jährig</t>
  </si>
  <si>
    <t>Bison &lt; 3-jährig</t>
  </si>
  <si>
    <t>Rothirsch jeden Alters</t>
  </si>
  <si>
    <t>Stück</t>
  </si>
  <si>
    <t>Platz</t>
  </si>
  <si>
    <t>Einheit</t>
  </si>
  <si>
    <t>Anpassung</t>
  </si>
  <si>
    <t>Standard</t>
  </si>
  <si>
    <t>Verzehr</t>
  </si>
  <si>
    <t>dt Jahr</t>
  </si>
  <si>
    <t>Stier</t>
  </si>
  <si>
    <t>RimaM</t>
  </si>
  <si>
    <t>MastkalbP</t>
  </si>
  <si>
    <t>MukukalbG</t>
  </si>
  <si>
    <t>MukukalbK</t>
  </si>
  <si>
    <t>RimaEx</t>
  </si>
  <si>
    <t>Maulti</t>
  </si>
  <si>
    <t>Pferd</t>
  </si>
  <si>
    <t>MuPferd</t>
  </si>
  <si>
    <t>Fohlen</t>
  </si>
  <si>
    <t>MiSchaf</t>
  </si>
  <si>
    <t>Ziege</t>
  </si>
  <si>
    <t>Miziege</t>
  </si>
  <si>
    <t>BisonG</t>
  </si>
  <si>
    <t>BisonK</t>
  </si>
  <si>
    <t>DammH</t>
  </si>
  <si>
    <t>RotH</t>
  </si>
  <si>
    <t>LamaG</t>
  </si>
  <si>
    <t>LamaK</t>
  </si>
  <si>
    <t>AlpakaG</t>
  </si>
  <si>
    <t>AlpakaK</t>
  </si>
  <si>
    <t>MSP0</t>
  </si>
  <si>
    <t>MSP25</t>
  </si>
  <si>
    <t>MSP50</t>
  </si>
  <si>
    <t>MSP75</t>
  </si>
  <si>
    <t>MSP100</t>
  </si>
  <si>
    <t>ZuchtS0</t>
  </si>
  <si>
    <t>ZuchtS25</t>
  </si>
  <si>
    <t>ZuchtS50</t>
  </si>
  <si>
    <t>ZuchtS75</t>
  </si>
  <si>
    <t>ZuchtS100</t>
  </si>
  <si>
    <t>GaltS0</t>
  </si>
  <si>
    <t>GaltS25</t>
  </si>
  <si>
    <t>GaltS50</t>
  </si>
  <si>
    <t>GaltS75</t>
  </si>
  <si>
    <t>GaltS100</t>
  </si>
  <si>
    <t>Ferkel0</t>
  </si>
  <si>
    <t>Ferkel25</t>
  </si>
  <si>
    <t>Ferkel50</t>
  </si>
  <si>
    <t>Ferkel75</t>
  </si>
  <si>
    <t>Ferkel100</t>
  </si>
  <si>
    <t>LaktS0</t>
  </si>
  <si>
    <t>LaktS25</t>
  </si>
  <si>
    <t>LaktS50</t>
  </si>
  <si>
    <t>LaktS75</t>
  </si>
  <si>
    <t>LaktS100</t>
  </si>
  <si>
    <t>Eber0</t>
  </si>
  <si>
    <t>Eber25</t>
  </si>
  <si>
    <t>Eber50</t>
  </si>
  <si>
    <t>Eber75</t>
  </si>
  <si>
    <t>Eber100</t>
  </si>
  <si>
    <t>Basistabelle: Tiere, GVE, Verzehr, Stroh, Düngeranfall</t>
  </si>
  <si>
    <t>Datenherkunft</t>
  </si>
  <si>
    <t>MSS0</t>
  </si>
  <si>
    <t>MSS25</t>
  </si>
  <si>
    <t>MSS50</t>
  </si>
  <si>
    <t>MSS100</t>
  </si>
  <si>
    <t>MSS75</t>
  </si>
  <si>
    <t>Auswahltabelle Systeme und Tierkategorien</t>
  </si>
  <si>
    <t>Auswahltabelle Stroh, Mist, Gülle</t>
  </si>
  <si>
    <t>Ri GVE</t>
  </si>
  <si>
    <t>ja/nein</t>
  </si>
  <si>
    <t>Legende:</t>
  </si>
  <si>
    <t>Grundfutterbedarf</t>
  </si>
  <si>
    <t>(Stück)</t>
  </si>
  <si>
    <t>Total Silage</t>
  </si>
  <si>
    <t>Total Dürrfutter</t>
  </si>
  <si>
    <t>Feld zum ausfüllen (evtl. mit Standardvorgabe)</t>
  </si>
  <si>
    <t>Kommentar: Erscheint beim Berühren des Feldes</t>
  </si>
  <si>
    <t>Feld mit Auswahlliste</t>
  </si>
  <si>
    <t>Laufhof</t>
  </si>
  <si>
    <t>(%)</t>
  </si>
  <si>
    <t>(dt TS)</t>
  </si>
  <si>
    <t>(kg TS/Tier)</t>
  </si>
  <si>
    <t>(+/- kg TS)</t>
  </si>
  <si>
    <t>Pony</t>
  </si>
  <si>
    <t>Auswahl Dorpdown Nebenfläche</t>
  </si>
  <si>
    <t>Milchkühe 7'500 kg</t>
  </si>
  <si>
    <t>Mutterkühe &gt;700 kg</t>
  </si>
  <si>
    <t>Mutterkühe 600-700 kg</t>
  </si>
  <si>
    <t>Mutterkühe &lt;600 kg</t>
  </si>
  <si>
    <t>Miku1</t>
  </si>
  <si>
    <t>Miku2</t>
  </si>
  <si>
    <t>Miku3</t>
  </si>
  <si>
    <t>Miku4</t>
  </si>
  <si>
    <t>Miku5</t>
  </si>
  <si>
    <t>Miku6</t>
  </si>
  <si>
    <t>Miku7</t>
  </si>
  <si>
    <t>Miku8</t>
  </si>
  <si>
    <t>Miku9</t>
  </si>
  <si>
    <t>Miku10</t>
  </si>
  <si>
    <t>Miku11</t>
  </si>
  <si>
    <t>Miku12</t>
  </si>
  <si>
    <t>Muku1</t>
  </si>
  <si>
    <t>Muku2</t>
  </si>
  <si>
    <t>Muku3</t>
  </si>
  <si>
    <t>Muku4</t>
  </si>
  <si>
    <t>Muku5</t>
  </si>
  <si>
    <t>Muku6</t>
  </si>
  <si>
    <t>Muku7</t>
  </si>
  <si>
    <t>Muku8</t>
  </si>
  <si>
    <t>Muku9</t>
  </si>
  <si>
    <t>Muku10</t>
  </si>
  <si>
    <t>Muku11</t>
  </si>
  <si>
    <t>Muku12</t>
  </si>
  <si>
    <t>Miku13</t>
  </si>
  <si>
    <t>Muku13</t>
  </si>
  <si>
    <t xml:space="preserve"> </t>
  </si>
  <si>
    <t>Schweine Vollgülle</t>
  </si>
  <si>
    <t xml:space="preserve">Stute mit Fohlen </t>
  </si>
  <si>
    <t>Mastkälberplatz</t>
  </si>
  <si>
    <t>Azk1</t>
  </si>
  <si>
    <t>Azk2</t>
  </si>
  <si>
    <t>Azk3</t>
  </si>
  <si>
    <t>Azk4</t>
  </si>
  <si>
    <t>Azk5</t>
  </si>
  <si>
    <t>Azk6</t>
  </si>
  <si>
    <t>Azk7</t>
  </si>
  <si>
    <t>Azk8</t>
  </si>
  <si>
    <t>Azk9</t>
  </si>
  <si>
    <t>Azk10</t>
  </si>
  <si>
    <t>Rj1</t>
  </si>
  <si>
    <t>Rj2</t>
  </si>
  <si>
    <t>Rj3</t>
  </si>
  <si>
    <t>Rj4</t>
  </si>
  <si>
    <t>Rj5</t>
  </si>
  <si>
    <t>Rj6</t>
  </si>
  <si>
    <t>Rj7</t>
  </si>
  <si>
    <t>Rj8</t>
  </si>
  <si>
    <t>Rj9</t>
  </si>
  <si>
    <t>Rj10</t>
  </si>
  <si>
    <t>Rj11</t>
  </si>
  <si>
    <t>Rj12</t>
  </si>
  <si>
    <t>Rj13</t>
  </si>
  <si>
    <t>Ra1</t>
  </si>
  <si>
    <t>Ra2</t>
  </si>
  <si>
    <t>Ra3</t>
  </si>
  <si>
    <t>Ra4</t>
  </si>
  <si>
    <t>Ra5</t>
  </si>
  <si>
    <t>Ra6</t>
  </si>
  <si>
    <t>Ra7</t>
  </si>
  <si>
    <t>Ra8</t>
  </si>
  <si>
    <t>Ra9</t>
  </si>
  <si>
    <t>Ra10</t>
  </si>
  <si>
    <t>Ra11</t>
  </si>
  <si>
    <t>Ra12</t>
  </si>
  <si>
    <t>Ra13</t>
  </si>
  <si>
    <t>MukukalbK1</t>
  </si>
  <si>
    <t>MukukalbK2</t>
  </si>
  <si>
    <t>MukukalbK3</t>
  </si>
  <si>
    <t>MukukalbK4</t>
  </si>
  <si>
    <t>MukukalbK5</t>
  </si>
  <si>
    <t>MukukalbK6</t>
  </si>
  <si>
    <t>MukukalbK7</t>
  </si>
  <si>
    <t>MukukalbK8</t>
  </si>
  <si>
    <t>MukukalbK9</t>
  </si>
  <si>
    <t>MukukalbK10</t>
  </si>
  <si>
    <t>MukukalbG1</t>
  </si>
  <si>
    <t>MukukalbG2</t>
  </si>
  <si>
    <t>MukukalbG3</t>
  </si>
  <si>
    <t>MukukalbG4</t>
  </si>
  <si>
    <t>MukukalbG5</t>
  </si>
  <si>
    <t>MukukalbG6</t>
  </si>
  <si>
    <t>MukukalbG7</t>
  </si>
  <si>
    <t>MukukalbG8</t>
  </si>
  <si>
    <t>MukukalbG9</t>
  </si>
  <si>
    <t>MukukalbG10</t>
  </si>
  <si>
    <t>Stier1</t>
  </si>
  <si>
    <t>Stier2</t>
  </si>
  <si>
    <t>Stier3</t>
  </si>
  <si>
    <t>Stier4</t>
  </si>
  <si>
    <t>Stier5</t>
  </si>
  <si>
    <t>Stier6</t>
  </si>
  <si>
    <t>Stier7</t>
  </si>
  <si>
    <t>Stier8</t>
  </si>
  <si>
    <t>Stier9</t>
  </si>
  <si>
    <t>Stier10</t>
  </si>
  <si>
    <t>Stier11</t>
  </si>
  <si>
    <t>Stier12</t>
  </si>
  <si>
    <t>Stier13</t>
  </si>
  <si>
    <t>RimaT</t>
  </si>
  <si>
    <t>RimaT1</t>
  </si>
  <si>
    <t>RimaT2</t>
  </si>
  <si>
    <t>RimaT3</t>
  </si>
  <si>
    <t>RimaT4</t>
  </si>
  <si>
    <t>RimaT5</t>
  </si>
  <si>
    <t>RimaT6</t>
  </si>
  <si>
    <t>RimaT7</t>
  </si>
  <si>
    <t>RimaT8</t>
  </si>
  <si>
    <t>RimaT9</t>
  </si>
  <si>
    <t>RimaT10</t>
  </si>
  <si>
    <t>RimaM1</t>
  </si>
  <si>
    <t>RimaM2</t>
  </si>
  <si>
    <t>RimaM3</t>
  </si>
  <si>
    <t>RimaM4</t>
  </si>
  <si>
    <t>RimaM5</t>
  </si>
  <si>
    <t>RimaM6</t>
  </si>
  <si>
    <t>RimaM7</t>
  </si>
  <si>
    <t>RimaM8</t>
  </si>
  <si>
    <t>RimaM9</t>
  </si>
  <si>
    <t>RimaM10</t>
  </si>
  <si>
    <t>RimaEx1</t>
  </si>
  <si>
    <t>RimaEx2</t>
  </si>
  <si>
    <t>RimaEx3</t>
  </si>
  <si>
    <t>RimaEx4</t>
  </si>
  <si>
    <t>RimaEx5</t>
  </si>
  <si>
    <t>RimaEx6</t>
  </si>
  <si>
    <t>RimaEx7</t>
  </si>
  <si>
    <t>RimaEx8</t>
  </si>
  <si>
    <t>RimaEx9</t>
  </si>
  <si>
    <t>RimaEx10</t>
  </si>
  <si>
    <t>Lama &gt; 3-jährig</t>
  </si>
  <si>
    <t>Lama &lt; 3-jährig</t>
  </si>
  <si>
    <t>Alpaka &gt; 3-jährig</t>
  </si>
  <si>
    <t>Alpaka &lt; 3-jährig</t>
  </si>
  <si>
    <t>Erklärungen zu den Daten:</t>
  </si>
  <si>
    <t>TS-Verzehr (dt/a), Bedarf Stroh (kg/d), Anfall Vollgülle (m3/a) und Anfall Mist bei Einraumlaufstall (t/a) basieren auf GRUD 17</t>
  </si>
  <si>
    <t xml:space="preserve">Mastkälber von 60 kg bis 220 kg: wurde nach Platz gerechnet, aber GVE Faktor mit 0.13 bewertet. </t>
  </si>
  <si>
    <t>Boxenlaufstall Vollgülle</t>
  </si>
  <si>
    <t>Bemerkungen</t>
  </si>
  <si>
    <t xml:space="preserve">GRUD17 </t>
  </si>
  <si>
    <t>Die % Anfall für Hofdünger nach Aufstallungssystem bei den Mutterkühen wird nicht nach den Gewichtskategorien unterschieden. Der Strohverbrauch wurde auf LG 600-700 kg angepasst.</t>
  </si>
  <si>
    <t>In GRUD17 TS-Verzehr und Strohverbrauch, Hofdüngerdaten aus VZGR20, GVE Faktor nach NSB 9.5</t>
  </si>
  <si>
    <t>In GRUD17 nur TS-Verzehr, Hofdüngerdaten aus VZGR20, Strohverbrauch nach "Ra"</t>
  </si>
  <si>
    <t>TS-Verzehr nach GRUD 17, TS-Verzehr nach NSB 9.5 weicht nach oben ab (26 dt/a)</t>
  </si>
  <si>
    <t>Alle Daten nach GRUD 17, GVE-Faktor nach NSB 9.5</t>
  </si>
  <si>
    <t>GRUD17 / VZGR20</t>
  </si>
  <si>
    <t>In GRUD17 TS-Verzehr, Stroh (Entscheidung GM), Hofdünger VZGR20</t>
  </si>
  <si>
    <t>Zuchtschwein inkl. Ferkel bis 26 kg</t>
  </si>
  <si>
    <t>MastkalbP7</t>
  </si>
  <si>
    <t>MastkalbP8</t>
  </si>
  <si>
    <t>MastkalbP10</t>
  </si>
  <si>
    <t>Legehennenplätze</t>
  </si>
  <si>
    <t>Junghennenplätze</t>
  </si>
  <si>
    <t>Mastpouletplätze</t>
  </si>
  <si>
    <t>Mastpoulet</t>
  </si>
  <si>
    <t>Legehenne1</t>
  </si>
  <si>
    <t>Legehenne2</t>
  </si>
  <si>
    <t>Junghenne1</t>
  </si>
  <si>
    <t>Junghenne2</t>
  </si>
  <si>
    <t>Hennen, Kotband</t>
  </si>
  <si>
    <t>Hennen, Kotgrube/ Bodenhaltung</t>
  </si>
  <si>
    <t>Annahme MB &amp; AC (% von GRUD 17)</t>
  </si>
  <si>
    <t>Auswahl Berater</t>
  </si>
  <si>
    <t>081 257 60 81</t>
  </si>
  <si>
    <t>081 257 60 73</t>
  </si>
  <si>
    <t>mario.buehler@plantahof.gr.ch</t>
  </si>
  <si>
    <t>081 257 60 62</t>
  </si>
  <si>
    <t>gion.michel@plantahof.gr.ch</t>
  </si>
  <si>
    <t>081 257 60 87</t>
  </si>
  <si>
    <t>susanne.simonett-sinz@plantahof.gr.ch</t>
  </si>
  <si>
    <t>breitflächig in Wiesland</t>
  </si>
  <si>
    <t>Nordtäler</t>
  </si>
  <si>
    <t>Südtäler</t>
  </si>
  <si>
    <t>Winter- und Zufütterungsdauer</t>
  </si>
  <si>
    <t>Aufzuchtrind, bis 160 Tage</t>
  </si>
  <si>
    <t>Betriebsindividuell anpassen</t>
  </si>
  <si>
    <t xml:space="preserve">Anfall rechnen </t>
  </si>
  <si>
    <t>Aufzuchtrind, 160 - 365 Tage</t>
  </si>
  <si>
    <t>Azg</t>
  </si>
  <si>
    <t>Azg1</t>
  </si>
  <si>
    <t>Azg2</t>
  </si>
  <si>
    <t>Azg3</t>
  </si>
  <si>
    <t>Azg4</t>
  </si>
  <si>
    <t>Azg5</t>
  </si>
  <si>
    <t>Azg6</t>
  </si>
  <si>
    <t>Azg7</t>
  </si>
  <si>
    <t>Azg8</t>
  </si>
  <si>
    <t>Azg9</t>
  </si>
  <si>
    <t>Azg10</t>
  </si>
  <si>
    <t>Siloballen (Gras)</t>
  </si>
  <si>
    <t>Hochsilo (Gras)</t>
  </si>
  <si>
    <t>Flachsilo (Gras)</t>
  </si>
  <si>
    <t>Kleinballen</t>
  </si>
  <si>
    <t>Rundballen klein</t>
  </si>
  <si>
    <t>Anteil Silofütterung</t>
  </si>
  <si>
    <t>Rundballen mittel</t>
  </si>
  <si>
    <t>Rundballen gross</t>
  </si>
  <si>
    <t>Quaderballen klein</t>
  </si>
  <si>
    <t>Quaderballen gross</t>
  </si>
  <si>
    <t>Ballenart</t>
  </si>
  <si>
    <t>Glossar</t>
  </si>
  <si>
    <t>Boxenlaufstall gegenst. und wands.
Fressplatz: planb. o. perf. Vollgülle
Laufgänge: planb. o. perf. Vollgülle</t>
  </si>
  <si>
    <t>Boxenlaufstall gegenständig
Fressplatz: planb. o. perf. Vollgülle
Laufgänge: planb. Mist u. Gülle</t>
  </si>
  <si>
    <t>Boxenlaufstall wandständig
Fressplatz: planb. o. perf. Vollgülle
Laufgänge: planb. Mist u. Gülle</t>
  </si>
  <si>
    <t>Boxenlaufstall gegenständig
Fressplatz: planb. Mist u. Gülle
Laufgänge: planb. o. perf. Vollgülle</t>
  </si>
  <si>
    <t>Boxen, wandständig, 38% Mist, 62% Gülle</t>
  </si>
  <si>
    <t>Boxen, gegenständig 19% Mist, 81% Gülle</t>
  </si>
  <si>
    <t>Boxen, gegenständig, 33% Mist, 67% Gülle</t>
  </si>
  <si>
    <t>Boxen, gegenständig, 52% Mist, 48% Gülle</t>
  </si>
  <si>
    <t>Boxenlaufstall hoher Mistanteil 
Fressplatz und Laufgang : alles planbefestigt, geringe Entwässerungsmöglichkeit, hoher Stroheinsatz, Mist und Harngülle</t>
  </si>
  <si>
    <t>Boxenlaufstall gegenständig
Fressplatz: planb. Mist und Gülle
Laufgang: planb. Mist und Gülle</t>
  </si>
  <si>
    <t>Boxenlaufstall, 70% Mist, 30% Gülle</t>
  </si>
  <si>
    <t>Zweiraumlaufstall
Fressplatz: planb. o. perf. Vollgülle
Liegefläche: Tiefstroh</t>
  </si>
  <si>
    <t>Zweiraumlaufstall 
Fressplatz: planb. Mist und Gülle4
Liegefläche: Tiefstroh</t>
  </si>
  <si>
    <t>Zweiraumlaufstall, 70% Mist, 30% Gülle</t>
  </si>
  <si>
    <t>Tretmiststall
Fressplatz: planb. Mist und Gülle
Liegefläche: Tiefstroh</t>
  </si>
  <si>
    <t>Tretmiststall, 75% Mist, 25% Gülle</t>
  </si>
  <si>
    <t>Einraumlaufstall
Fressplatz: Tiefstroh
Liegefläche: Tiefstroh</t>
  </si>
  <si>
    <t>Einraumlaufstall, 100% Mist, 0% Gülle</t>
  </si>
  <si>
    <t>Anbindestall
Gitterrost/Schwemmk.: Vollgülle</t>
  </si>
  <si>
    <t>Anbindestall
Kotgraben mit Schlitzrinne</t>
  </si>
  <si>
    <t>Anbindestall, 52% Mist, 48% Gülle</t>
  </si>
  <si>
    <t>Anbindestall, 0% Mist, 100% Gülle</t>
  </si>
  <si>
    <t>Anbindestall
Kotgraben ohne Schlitzrinne, geringe Harnabscheidung</t>
  </si>
  <si>
    <t>Anbindestall, 70% Mist, 30% Gülle</t>
  </si>
  <si>
    <t xml:space="preserve">Rindviehmast int. 65-530 kg </t>
  </si>
  <si>
    <t>GVE Faktoren basieren auf Nährstoffbilanz Version 9.5 &amp; 9.6 und Maschinenring Graubünden</t>
  </si>
  <si>
    <t xml:space="preserve">Der Strohverbrauch nach Aufstallungssystemen wurde nach der Einschätzung von der Fachgruppe Landw. Bauen angenommen. </t>
  </si>
  <si>
    <t>Die Daten stammen aus der GRUD09, GRUD17, NSB 9.5, NSB 9.6, VZGR20, MRGR</t>
  </si>
  <si>
    <t>GRUD17 / DZV</t>
  </si>
  <si>
    <t>GRUD17 / NSB 9.6</t>
  </si>
  <si>
    <t>GRUD17 / VZGR20, DZV</t>
  </si>
  <si>
    <t>Alle Daten nach GRUD17, GVE Faktor 0.7 nach DZV</t>
  </si>
  <si>
    <t>In GRUD17 TS-Verzehr, Stroh (Entscheidung GM), Hofdünger nach VZGR20, GVE nach DZV</t>
  </si>
  <si>
    <t>Alle Daten nach GRUD17, GVE Faktor 1 nach DZV</t>
  </si>
  <si>
    <t>Alle Daten nach GRUD17, GVE Faktor 0.5 nach DZV</t>
  </si>
  <si>
    <t>GRUD17 /DZV</t>
  </si>
  <si>
    <t>GRUD17/ VZGR20, NSB 9.6</t>
  </si>
  <si>
    <t>In GRUD17 TS-Verzehr und Strohverbrauch Hofdüngerdaten, GVE Faktor nach NSB 9.5, in Gülle starke Abweichung zu VZGR20</t>
  </si>
  <si>
    <t>GR17 /NSB 9.6</t>
  </si>
  <si>
    <t>GR17/ NSB 9.5</t>
  </si>
  <si>
    <t>GR17/ NSB 9.6</t>
  </si>
  <si>
    <t>In GRUD17 TS-Verzehr und Stroh Hofdünger nach VZGR20, GVE nach DZV</t>
  </si>
  <si>
    <t>NSB 9.6/ VZGR20</t>
  </si>
  <si>
    <t>Daten nach NSB 9.6, Hofdünger nach VZGR20, Strohverbrauch nach "Ziege"</t>
  </si>
  <si>
    <t>Grossvieheinheit</t>
  </si>
  <si>
    <t>FS</t>
  </si>
  <si>
    <t>Frischsubstanz</t>
  </si>
  <si>
    <t>TS</t>
  </si>
  <si>
    <t>Trockensubstanz</t>
  </si>
  <si>
    <t>dt</t>
  </si>
  <si>
    <t>kg</t>
  </si>
  <si>
    <t>Kilogramm</t>
  </si>
  <si>
    <t>t</t>
  </si>
  <si>
    <t>Tonne</t>
  </si>
  <si>
    <t>Gewicht/B Heu (kg)</t>
  </si>
  <si>
    <t>Gewicht/B Stroh (kg)</t>
  </si>
  <si>
    <r>
      <t>Volumen/B (m</t>
    </r>
    <r>
      <rPr>
        <vertAlign val="superscript"/>
        <sz val="10"/>
        <color theme="1"/>
        <rFont val="Syntax LT Std"/>
        <family val="2"/>
      </rPr>
      <t>3</t>
    </r>
    <r>
      <rPr>
        <sz val="10"/>
        <color theme="1"/>
        <rFont val="Syntax LT Std"/>
        <family val="2"/>
      </rPr>
      <t>)</t>
    </r>
  </si>
  <si>
    <t>1 x 0.45 x 0.35</t>
  </si>
  <si>
    <t>0.7 x 0.5</t>
  </si>
  <si>
    <t>1.2 x 1.2</t>
  </si>
  <si>
    <t>1.2 x 1.5</t>
  </si>
  <si>
    <t>2 x 0.8 x 0.9</t>
  </si>
  <si>
    <t>2.4 x 1.2 x 0.7</t>
  </si>
  <si>
    <t>Grösse (m)</t>
  </si>
  <si>
    <r>
      <t xml:space="preserve">Auswahlliste Heu-Ballenart  </t>
    </r>
    <r>
      <rPr>
        <sz val="10"/>
        <color theme="1"/>
        <rFont val="Syntax LT Std"/>
        <family val="2"/>
      </rPr>
      <t>(nach Wirtskalender)</t>
    </r>
  </si>
  <si>
    <t>RiGVE</t>
  </si>
  <si>
    <t>Rindvieh-Grossvieheinheit</t>
  </si>
  <si>
    <r>
      <t>Lager kg/m</t>
    </r>
    <r>
      <rPr>
        <vertAlign val="superscript"/>
        <sz val="10"/>
        <color theme="1"/>
        <rFont val="Syntax LT Std"/>
        <family val="2"/>
      </rPr>
      <t>3</t>
    </r>
    <r>
      <rPr>
        <sz val="10"/>
        <color theme="1"/>
        <rFont val="Syntax LT Std"/>
        <family val="2"/>
      </rPr>
      <t xml:space="preserve">   Heu</t>
    </r>
  </si>
  <si>
    <r>
      <t>Lager kg/m</t>
    </r>
    <r>
      <rPr>
        <vertAlign val="superscript"/>
        <sz val="10"/>
        <color theme="1"/>
        <rFont val="Syntax LT Std"/>
        <family val="2"/>
      </rPr>
      <t>3</t>
    </r>
    <r>
      <rPr>
        <sz val="10"/>
        <color theme="1"/>
        <rFont val="Syntax LT Std"/>
        <family val="2"/>
      </rPr>
      <t xml:space="preserve"> Stroh</t>
    </r>
  </si>
  <si>
    <t>Equiden und Kleinwiederkäuer</t>
  </si>
  <si>
    <t>Güllelager</t>
  </si>
  <si>
    <r>
      <t>Dichte/ Balle Heu kg/ m</t>
    </r>
    <r>
      <rPr>
        <vertAlign val="superscript"/>
        <sz val="10"/>
        <color theme="1"/>
        <rFont val="Syntax LT Std"/>
        <family val="2"/>
      </rPr>
      <t>3</t>
    </r>
  </si>
  <si>
    <r>
      <t>Dichte/ Balle Stroh kg/ m</t>
    </r>
    <r>
      <rPr>
        <vertAlign val="superscript"/>
        <sz val="10"/>
        <color theme="1"/>
        <rFont val="Syntax LT Std"/>
        <family val="2"/>
      </rPr>
      <t>3</t>
    </r>
  </si>
  <si>
    <t>Flachsilo (Mais)</t>
  </si>
  <si>
    <t>Hochsilo (Mais)</t>
  </si>
  <si>
    <t>Siloballen (Mais)</t>
  </si>
  <si>
    <t>GRUD17/ DZV /NSB 9.6 / Wirtskalender</t>
  </si>
  <si>
    <t>GRUD17 / DZV / NSB 9.6 / Wirtskalender</t>
  </si>
  <si>
    <t>Mutterkuhkälber, über 160-tägig</t>
  </si>
  <si>
    <t>Mutterkuhkälber, bis 160-tägig</t>
  </si>
  <si>
    <t>GRUD17 / NSB 9.6 / Wirtskalender</t>
  </si>
  <si>
    <t>Schaf über ein Jahr</t>
  </si>
  <si>
    <t>081 257 60 82</t>
  </si>
  <si>
    <t>Ziege über ein Jahr</t>
  </si>
  <si>
    <t>%</t>
  </si>
  <si>
    <t>&lt; </t>
  </si>
  <si>
    <t>&gt; </t>
  </si>
  <si>
    <t>Prozent</t>
  </si>
  <si>
    <t>kleiner als</t>
  </si>
  <si>
    <t>grösser als</t>
  </si>
  <si>
    <t>Quadratmeter</t>
  </si>
  <si>
    <t>Kubikmeter</t>
  </si>
  <si>
    <t>bzw.</t>
  </si>
  <si>
    <t>beziehungsweise</t>
  </si>
  <si>
    <t>tot.</t>
  </si>
  <si>
    <t>Damhirsch + Nachwuchs bis 16 Mt.</t>
  </si>
  <si>
    <t>Rindviehmast, Tränker &lt; 4 Mt.</t>
  </si>
  <si>
    <t>Rindviehweidemast  &gt;4 Mt.</t>
  </si>
  <si>
    <t>Abkürzung</t>
  </si>
  <si>
    <t>Erläuterung</t>
  </si>
  <si>
    <t>Zweiraumlaufstall, 50% Mist, 50% Gülle</t>
  </si>
  <si>
    <t xml:space="preserve">Dichte </t>
  </si>
  <si>
    <t xml:space="preserve">TS Gehalt </t>
  </si>
  <si>
    <t>Stallsysteme II</t>
  </si>
  <si>
    <t>Boxenlaufstall mit Vollgülle</t>
  </si>
  <si>
    <t>Boxenlaufstall mit Mist und Gülle</t>
  </si>
  <si>
    <t>Zweiraumlaufstall</t>
  </si>
  <si>
    <t>Tretmiststall</t>
  </si>
  <si>
    <t>Einraumlaufstall</t>
  </si>
  <si>
    <t>Anbindestall mit 
Schwemmentmistung</t>
  </si>
  <si>
    <t>Anbindestall mit Kotplatte</t>
  </si>
  <si>
    <t>Tiefstreue</t>
  </si>
  <si>
    <t>Volierenhaltung</t>
  </si>
  <si>
    <t>Bodenhaltung</t>
  </si>
  <si>
    <t>Schweineplätze</t>
  </si>
  <si>
    <t>Talzone</t>
  </si>
  <si>
    <t>Hügelzone</t>
  </si>
  <si>
    <t>Bergzone IV</t>
  </si>
  <si>
    <t>Bergzone I</t>
  </si>
  <si>
    <t>Bergzone II</t>
  </si>
  <si>
    <t>Bergzone III</t>
  </si>
  <si>
    <t>Bühler Mario</t>
  </si>
  <si>
    <t>Michel Gion</t>
  </si>
  <si>
    <t>Stroh//GVE *Tag wie im aRP</t>
  </si>
  <si>
    <t>Rizzi Pierina</t>
  </si>
  <si>
    <t>pierina.rizzi@plantahof.gr.ch</t>
  </si>
  <si>
    <t>Cadalbert Sara</t>
  </si>
  <si>
    <t>sara.cadalbert@plantahof.gr.ch</t>
  </si>
  <si>
    <t>Simonett-Sinz Susanne</t>
  </si>
  <si>
    <t>Azg11</t>
  </si>
  <si>
    <t>Azg12</t>
  </si>
  <si>
    <t>Azg13</t>
  </si>
  <si>
    <t>Jungschafe über 180 bis 365 Tage alt</t>
  </si>
  <si>
    <t>Lämmer bis 180 Tage alt</t>
  </si>
  <si>
    <t>Jungziegen über 180 Tage bis 365 Tage alt</t>
  </si>
  <si>
    <t>Zicklein bis 180 Tage alt</t>
  </si>
  <si>
    <t>Jschaf</t>
  </si>
  <si>
    <t>Lamm</t>
  </si>
  <si>
    <t>Jziege</t>
  </si>
  <si>
    <t>Zicklein</t>
  </si>
  <si>
    <t>Dönz Patrick</t>
  </si>
  <si>
    <t>081 257 60 92</t>
  </si>
  <si>
    <t>patrick.doenz@plantahof.gr.ch</t>
  </si>
  <si>
    <t>Milchkühe / Galtkühe</t>
  </si>
  <si>
    <t>Boner Maja</t>
  </si>
  <si>
    <t>081 257 60 86</t>
  </si>
  <si>
    <t>maja.boner@plantahof.gr.ch</t>
  </si>
  <si>
    <t>Simmen Svenja</t>
  </si>
  <si>
    <t>081 257 61 38</t>
  </si>
  <si>
    <t>svenja.simmen@plantahof.gr.ch</t>
  </si>
  <si>
    <t>Töpfer Moritz</t>
  </si>
  <si>
    <t>081 257 60 96</t>
  </si>
  <si>
    <t>moritz.toepfer@plantahof.gr.ch</t>
  </si>
  <si>
    <t>GS-Bereich</t>
  </si>
  <si>
    <t>Au/Ao</t>
  </si>
  <si>
    <t>S3</t>
  </si>
  <si>
    <t>S2</t>
  </si>
  <si>
    <t>S1</t>
  </si>
  <si>
    <t>üB</t>
  </si>
  <si>
    <t>Mutterkühe, Ø Lebendgewicht</t>
  </si>
  <si>
    <r>
      <t>m</t>
    </r>
    <r>
      <rPr>
        <vertAlign val="superscript"/>
        <sz val="11"/>
        <color theme="1"/>
        <rFont val="Aptos Narrow"/>
        <family val="2"/>
      </rPr>
      <t>2</t>
    </r>
  </si>
  <si>
    <r>
      <t>(m</t>
    </r>
    <r>
      <rPr>
        <vertAlign val="superscript"/>
        <sz val="11"/>
        <color theme="1"/>
        <rFont val="Aptos Narrow"/>
        <family val="2"/>
      </rPr>
      <t>3</t>
    </r>
    <r>
      <rPr>
        <sz val="11"/>
        <color theme="1"/>
        <rFont val="Aptos Narrow"/>
        <family val="2"/>
      </rPr>
      <t>/ Stück)</t>
    </r>
  </si>
  <si>
    <r>
      <t>(m</t>
    </r>
    <r>
      <rPr>
        <vertAlign val="superscript"/>
        <sz val="11"/>
        <color theme="1"/>
        <rFont val="Aptos Narrow"/>
        <family val="2"/>
      </rPr>
      <t>3</t>
    </r>
    <r>
      <rPr>
        <sz val="11"/>
        <color theme="1"/>
        <rFont val="Aptos Narrow"/>
        <family val="2"/>
      </rPr>
      <t>)</t>
    </r>
  </si>
  <si>
    <r>
      <t>(kg FS/m</t>
    </r>
    <r>
      <rPr>
        <vertAlign val="superscript"/>
        <sz val="11"/>
        <rFont val="Aptos Narrow"/>
        <family val="2"/>
      </rPr>
      <t>3</t>
    </r>
    <r>
      <rPr>
        <sz val="11"/>
        <rFont val="Aptos Narrow"/>
        <family val="2"/>
      </rPr>
      <t>)</t>
    </r>
  </si>
  <si>
    <r>
      <t>(kg/m</t>
    </r>
    <r>
      <rPr>
        <vertAlign val="superscript"/>
        <sz val="11"/>
        <color theme="1"/>
        <rFont val="Aptos Narrow"/>
        <family val="2"/>
      </rPr>
      <t>3</t>
    </r>
    <r>
      <rPr>
        <sz val="11"/>
        <color theme="1"/>
        <rFont val="Aptos Narrow"/>
        <family val="2"/>
      </rPr>
      <t>)</t>
    </r>
  </si>
  <si>
    <r>
      <t>m</t>
    </r>
    <r>
      <rPr>
        <vertAlign val="superscript"/>
        <sz val="11"/>
        <color theme="1"/>
        <rFont val="Aptos Narrow"/>
        <family val="2"/>
      </rPr>
      <t>3</t>
    </r>
  </si>
  <si>
    <t>Bilanz Grundfutter</t>
  </si>
  <si>
    <t>Vorrat</t>
  </si>
  <si>
    <t>Bedarf</t>
  </si>
  <si>
    <t>Menge</t>
  </si>
  <si>
    <t>1. Allgemeine Angaben</t>
  </si>
  <si>
    <t>2. Grundfutterbedarf</t>
  </si>
  <si>
    <t>4. Bilanz Grundfutter</t>
  </si>
  <si>
    <t>Betrieb</t>
  </si>
  <si>
    <t>Total Grundfutterbedarf</t>
  </si>
  <si>
    <t>Zukauf</t>
  </si>
  <si>
    <t>Vorrat + Zukauf Dürrfutter</t>
  </si>
  <si>
    <t>Vorrat + Zukauf Silage</t>
  </si>
  <si>
    <t>Fütterungsgruppen</t>
  </si>
  <si>
    <t>Bilanz: Vorrat (-) / Manko (+)</t>
  </si>
  <si>
    <t>Dezitonne (100 kg)</t>
  </si>
  <si>
    <t>Gesamtvorrat</t>
  </si>
  <si>
    <t>3. Grundfuttervorrat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</si>
</sst>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0.0"/>
    <numFmt numFmtId="165" formatCode="#,##0.0"/>
    <numFmt numFmtId="166" formatCode="0.000"/>
    <numFmt numFmtId="167" formatCode="0.0%"/>
  </numFmts>
  <fonts count="25" x14ac:knownFonts="1">
    <font>
      <sz val="10"/>
      <color theme="1"/>
      <name val="Syntax LT Std"/>
      <family val="2"/>
    </font>
    <font>
      <sz val="11"/>
      <color theme="1"/>
      <name val="Aptos Narrow"/>
      <family val="2"/>
    </font>
    <font>
      <sz val="11"/>
      <color theme="1"/>
      <name val="Aptos Narrow"/>
      <family val="2"/>
    </font>
    <font>
      <sz val="11"/>
      <color theme="1"/>
      <name val="Calibri"/>
      <family val="2"/>
      <scheme val="minor"/>
    </font>
    <font>
      <sz val="10"/>
      <color theme="1"/>
      <name val="Syntax LT Std"/>
      <family val="2"/>
    </font>
    <font>
      <b/>
      <sz val="10"/>
      <color theme="1"/>
      <name val="Syntax LT Std"/>
      <family val="2"/>
    </font>
    <font>
      <sz val="8"/>
      <color indexed="81"/>
      <name val="Tahoma"/>
      <family val="2"/>
    </font>
    <font>
      <sz val="10"/>
      <name val="MS Sans Serif"/>
      <family val="2"/>
    </font>
    <font>
      <sz val="10"/>
      <name val="Syntax LT Std"/>
      <family val="2"/>
    </font>
    <font>
      <b/>
      <sz val="10"/>
      <color theme="1"/>
      <name val="Syntax LT Std"/>
      <family val="2"/>
    </font>
    <font>
      <sz val="9"/>
      <color indexed="81"/>
      <name val="Tahoma"/>
      <family val="2"/>
    </font>
    <font>
      <b/>
      <sz val="9"/>
      <color indexed="81"/>
      <name val="Tahoma"/>
      <family val="2"/>
    </font>
    <font>
      <u/>
      <sz val="10"/>
      <color theme="10"/>
      <name val="Syntax LT Std"/>
      <family val="2"/>
    </font>
    <font>
      <sz val="9"/>
      <color indexed="81"/>
      <name val="Segoe UI"/>
      <family val="2"/>
    </font>
    <font>
      <b/>
      <sz val="9"/>
      <color indexed="81"/>
      <name val="Segoe UI"/>
      <family val="2"/>
    </font>
    <font>
      <vertAlign val="superscript"/>
      <sz val="10"/>
      <color theme="1"/>
      <name val="Syntax LT Std"/>
      <family val="2"/>
    </font>
    <font>
      <b/>
      <sz val="11"/>
      <color theme="1"/>
      <name val="Calibri"/>
      <family val="2"/>
      <scheme val="minor"/>
    </font>
    <font>
      <b/>
      <sz val="11"/>
      <color theme="1"/>
      <name val="Aptos Narrow"/>
      <family val="2"/>
    </font>
    <font>
      <b/>
      <sz val="14"/>
      <color theme="1"/>
      <name val="Aptos Narrow"/>
      <family val="2"/>
    </font>
    <font>
      <sz val="10"/>
      <color theme="1"/>
      <name val="Aptos Narrow"/>
      <family val="2"/>
    </font>
    <font>
      <sz val="11"/>
      <name val="Aptos Narrow"/>
      <family val="2"/>
    </font>
    <font>
      <b/>
      <sz val="12"/>
      <color theme="1"/>
      <name val="Aptos Narrow"/>
      <family val="2"/>
    </font>
    <font>
      <vertAlign val="superscript"/>
      <sz val="11"/>
      <color theme="1"/>
      <name val="Aptos Narrow"/>
      <family val="2"/>
    </font>
    <font>
      <vertAlign val="superscript"/>
      <sz val="11"/>
      <name val="Aptos Narrow"/>
      <family val="2"/>
    </font>
    <font>
      <b/>
      <sz val="11"/>
      <name val="Aptos Narrow"/>
      <family val="2"/>
    </font>
  </fonts>
  <fills count="9">
    <fill>
      <patternFill patternType="none"/>
    </fill>
    <fill>
      <patternFill patternType="gray125"/>
    </fill>
    <fill>
      <patternFill patternType="solid">
        <fgColor rgb="FFF6EBAC"/>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0"/>
        <bgColor indexed="64"/>
      </patternFill>
    </fill>
    <fill>
      <patternFill patternType="solid">
        <fgColor theme="0" tint="-0.249977111117893"/>
        <bgColor indexed="64"/>
      </patternFill>
    </fill>
  </fills>
  <borders count="37">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9" fontId="4" fillId="0" borderId="0" applyFont="0" applyFill="0" applyBorder="0" applyAlignment="0" applyProtection="0"/>
    <xf numFmtId="0" fontId="7" fillId="0" borderId="0"/>
    <xf numFmtId="43" fontId="7" fillId="0" borderId="0" applyFont="0" applyFill="0" applyBorder="0" applyAlignment="0" applyProtection="0"/>
    <xf numFmtId="0" fontId="12" fillId="0" borderId="0" applyNumberFormat="0" applyFill="0" applyBorder="0" applyAlignment="0" applyProtection="0"/>
  </cellStyleXfs>
  <cellXfs count="244">
    <xf numFmtId="0" fontId="0" fillId="0" borderId="0" xfId="0"/>
    <xf numFmtId="0" fontId="5" fillId="0" borderId="0" xfId="0" applyFont="1"/>
    <xf numFmtId="0" fontId="0" fillId="0" borderId="1" xfId="0" applyBorder="1"/>
    <xf numFmtId="9" fontId="0" fillId="0" borderId="1" xfId="0" applyNumberFormat="1"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7" xfId="0" applyBorder="1"/>
    <xf numFmtId="0" fontId="0" fillId="0" borderId="28" xfId="0" applyBorder="1"/>
    <xf numFmtId="0" fontId="0" fillId="4" borderId="2" xfId="0" applyFill="1" applyBorder="1"/>
    <xf numFmtId="0" fontId="0" fillId="4" borderId="3" xfId="0" applyFill="1" applyBorder="1"/>
    <xf numFmtId="0" fontId="0" fillId="4" borderId="4" xfId="0" applyFill="1" applyBorder="1"/>
    <xf numFmtId="0" fontId="0" fillId="4" borderId="0" xfId="0" applyFill="1"/>
    <xf numFmtId="0" fontId="0" fillId="4" borderId="9" xfId="0" applyFill="1" applyBorder="1"/>
    <xf numFmtId="164" fontId="0" fillId="0" borderId="0" xfId="0" applyNumberFormat="1"/>
    <xf numFmtId="1" fontId="0" fillId="0" borderId="0" xfId="0" applyNumberFormat="1"/>
    <xf numFmtId="0" fontId="0" fillId="0" borderId="18" xfId="0" applyBorder="1"/>
    <xf numFmtId="0" fontId="0" fillId="0" borderId="31" xfId="0" applyBorder="1"/>
    <xf numFmtId="0" fontId="0" fillId="0" borderId="32" xfId="0" applyBorder="1"/>
    <xf numFmtId="164" fontId="0" fillId="0" borderId="3" xfId="0" applyNumberFormat="1" applyBorder="1"/>
    <xf numFmtId="0" fontId="9" fillId="0" borderId="2" xfId="0" applyFont="1" applyBorder="1"/>
    <xf numFmtId="0" fontId="9" fillId="0" borderId="0" xfId="0" applyFont="1"/>
    <xf numFmtId="0" fontId="0" fillId="4" borderId="5" xfId="0" applyFill="1" applyBorder="1"/>
    <xf numFmtId="0" fontId="0" fillId="4" borderId="0" xfId="0" applyFill="1" applyAlignment="1">
      <alignment horizontal="center"/>
    </xf>
    <xf numFmtId="0" fontId="0" fillId="4" borderId="6" xfId="0" applyFill="1" applyBorder="1"/>
    <xf numFmtId="0" fontId="0" fillId="4" borderId="7" xfId="0" applyFill="1" applyBorder="1"/>
    <xf numFmtId="0" fontId="0" fillId="4" borderId="1" xfId="0" applyFill="1" applyBorder="1"/>
    <xf numFmtId="9" fontId="0" fillId="4" borderId="1" xfId="0" applyNumberFormat="1" applyFill="1" applyBorder="1"/>
    <xf numFmtId="9" fontId="0" fillId="4" borderId="8" xfId="0" applyNumberFormat="1" applyFill="1" applyBorder="1"/>
    <xf numFmtId="0" fontId="0" fillId="5" borderId="0" xfId="0" applyFill="1"/>
    <xf numFmtId="0" fontId="9" fillId="4" borderId="0" xfId="0" applyFont="1" applyFill="1"/>
    <xf numFmtId="9" fontId="0" fillId="0" borderId="0" xfId="0" applyNumberFormat="1"/>
    <xf numFmtId="164" fontId="0" fillId="0" borderId="6" xfId="0" applyNumberFormat="1" applyBorder="1"/>
    <xf numFmtId="9" fontId="0" fillId="0" borderId="3" xfId="0" applyNumberFormat="1" applyBorder="1"/>
    <xf numFmtId="164" fontId="0" fillId="0" borderId="4" xfId="0" applyNumberFormat="1" applyBorder="1"/>
    <xf numFmtId="0" fontId="0" fillId="4" borderId="1" xfId="0" applyFill="1" applyBorder="1" applyAlignment="1">
      <alignment horizontal="center"/>
    </xf>
    <xf numFmtId="164" fontId="0" fillId="0" borderId="8" xfId="0" applyNumberFormat="1" applyBorder="1"/>
    <xf numFmtId="0" fontId="0" fillId="0" borderId="1" xfId="0" applyBorder="1" applyAlignment="1">
      <alignment horizontal="center"/>
    </xf>
    <xf numFmtId="164" fontId="0" fillId="0" borderId="1" xfId="0" applyNumberFormat="1" applyBorder="1"/>
    <xf numFmtId="0" fontId="0" fillId="0" borderId="0" xfId="0" applyAlignment="1">
      <alignment horizontal="center"/>
    </xf>
    <xf numFmtId="9" fontId="0" fillId="0" borderId="6" xfId="0" applyNumberFormat="1" applyBorder="1"/>
    <xf numFmtId="0" fontId="5" fillId="0" borderId="9" xfId="0" applyFont="1" applyBorder="1"/>
    <xf numFmtId="166" fontId="0" fillId="0" borderId="0" xfId="0" applyNumberFormat="1"/>
    <xf numFmtId="166" fontId="8" fillId="0" borderId="0" xfId="0" applyNumberFormat="1" applyFont="1"/>
    <xf numFmtId="0" fontId="0" fillId="7" borderId="5" xfId="0" applyFill="1" applyBorder="1"/>
    <xf numFmtId="167" fontId="0" fillId="0" borderId="0" xfId="1" applyNumberFormat="1" applyFont="1"/>
    <xf numFmtId="0" fontId="0" fillId="0" borderId="9" xfId="0" applyBorder="1" applyAlignment="1">
      <alignment wrapText="1"/>
    </xf>
    <xf numFmtId="0" fontId="0" fillId="0" borderId="0" xfId="0" applyAlignment="1">
      <alignment wrapText="1"/>
    </xf>
    <xf numFmtId="0" fontId="8" fillId="0" borderId="0" xfId="0" applyFont="1"/>
    <xf numFmtId="0" fontId="0" fillId="0" borderId="0" xfId="0" applyAlignment="1">
      <alignment horizontal="left" vertical="top" wrapText="1"/>
    </xf>
    <xf numFmtId="0" fontId="0" fillId="3" borderId="28" xfId="0" applyFill="1" applyBorder="1" applyAlignment="1">
      <alignment horizontal="left" vertical="top"/>
    </xf>
    <xf numFmtId="0" fontId="0" fillId="3" borderId="23" xfId="0" applyFill="1" applyBorder="1" applyAlignment="1">
      <alignment horizontal="left" vertical="top"/>
    </xf>
    <xf numFmtId="0" fontId="0" fillId="0" borderId="2" xfId="0" applyBorder="1" applyAlignment="1">
      <alignment horizontal="left" vertical="top"/>
    </xf>
    <xf numFmtId="0" fontId="0" fillId="0" borderId="4" xfId="0" applyBorder="1" applyAlignment="1">
      <alignment horizontal="left" vertical="top"/>
    </xf>
    <xf numFmtId="0" fontId="0" fillId="3" borderId="32" xfId="0" applyFill="1" applyBorder="1" applyAlignment="1">
      <alignment horizontal="left" vertical="top"/>
    </xf>
    <xf numFmtId="0" fontId="0" fillId="3" borderId="26" xfId="0" applyFill="1" applyBorder="1" applyAlignment="1">
      <alignment horizontal="left" vertical="top"/>
    </xf>
    <xf numFmtId="0" fontId="0" fillId="3" borderId="21" xfId="0" applyFill="1" applyBorder="1" applyAlignment="1">
      <alignment horizontal="left" vertical="top" wrapText="1"/>
    </xf>
    <xf numFmtId="0" fontId="0" fillId="3" borderId="22" xfId="0" applyFill="1" applyBorder="1" applyAlignment="1">
      <alignment horizontal="left" vertical="top" wrapText="1"/>
    </xf>
    <xf numFmtId="0" fontId="0" fillId="4" borderId="27" xfId="0" applyFill="1" applyBorder="1" applyAlignment="1">
      <alignment horizontal="left" vertical="top" wrapText="1"/>
    </xf>
    <xf numFmtId="0" fontId="8" fillId="7" borderId="5" xfId="0" applyFont="1" applyFill="1" applyBorder="1"/>
    <xf numFmtId="2" fontId="0" fillId="0" borderId="9" xfId="0" applyNumberFormat="1" applyBorder="1"/>
    <xf numFmtId="1" fontId="0" fillId="0" borderId="9" xfId="0" applyNumberFormat="1" applyBorder="1"/>
    <xf numFmtId="0" fontId="5" fillId="4" borderId="0" xfId="0" applyFont="1" applyFill="1"/>
    <xf numFmtId="2" fontId="0" fillId="8" borderId="0" xfId="0" applyNumberFormat="1" applyFill="1"/>
    <xf numFmtId="0" fontId="0" fillId="8" borderId="0" xfId="0" applyFill="1"/>
    <xf numFmtId="166" fontId="0" fillId="8" borderId="0" xfId="0" applyNumberFormat="1" applyFill="1"/>
    <xf numFmtId="1" fontId="0" fillId="8" borderId="9" xfId="0" applyNumberFormat="1" applyFill="1" applyBorder="1"/>
    <xf numFmtId="1" fontId="0" fillId="8" borderId="23" xfId="0" applyNumberFormat="1" applyFill="1" applyBorder="1"/>
    <xf numFmtId="1" fontId="0" fillId="8" borderId="24" xfId="0" applyNumberFormat="1" applyFill="1" applyBorder="1"/>
    <xf numFmtId="1" fontId="0" fillId="8" borderId="26" xfId="0" applyNumberFormat="1" applyFill="1" applyBorder="1"/>
    <xf numFmtId="0" fontId="0" fillId="8" borderId="0" xfId="0" applyFill="1" applyAlignment="1">
      <alignment horizontal="center"/>
    </xf>
    <xf numFmtId="164" fontId="0" fillId="8" borderId="0" xfId="0" applyNumberFormat="1" applyFill="1"/>
    <xf numFmtId="0" fontId="8" fillId="8" borderId="0" xfId="0" applyFont="1" applyFill="1"/>
    <xf numFmtId="164" fontId="8" fillId="8" borderId="0" xfId="0" applyNumberFormat="1" applyFont="1" applyFill="1"/>
    <xf numFmtId="164" fontId="0" fillId="8" borderId="6" xfId="0" applyNumberFormat="1" applyFill="1" applyBorder="1"/>
    <xf numFmtId="0" fontId="0" fillId="8" borderId="5" xfId="0" applyFill="1" applyBorder="1"/>
    <xf numFmtId="164" fontId="8" fillId="8" borderId="6" xfId="0" applyNumberFormat="1" applyFont="1" applyFill="1" applyBorder="1"/>
    <xf numFmtId="9" fontId="0" fillId="2" borderId="3" xfId="0" applyNumberFormat="1" applyFill="1" applyBorder="1" applyProtection="1">
      <protection locked="0"/>
    </xf>
    <xf numFmtId="9" fontId="0" fillId="2" borderId="0" xfId="0" applyNumberFormat="1" applyFill="1" applyProtection="1">
      <protection locked="0"/>
    </xf>
    <xf numFmtId="9" fontId="0" fillId="2" borderId="1" xfId="0" applyNumberFormat="1" applyFill="1" applyBorder="1" applyProtection="1">
      <protection locked="0"/>
    </xf>
    <xf numFmtId="164" fontId="0" fillId="0" borderId="0" xfId="0" applyNumberFormat="1" applyAlignment="1">
      <alignment horizontal="right"/>
    </xf>
    <xf numFmtId="0" fontId="16" fillId="0" borderId="0" xfId="0" applyFont="1"/>
    <xf numFmtId="0" fontId="3" fillId="0" borderId="0" xfId="0" applyFont="1"/>
    <xf numFmtId="0" fontId="3" fillId="0" borderId="0" xfId="0" applyFont="1" applyAlignment="1">
      <alignment vertical="center"/>
    </xf>
    <xf numFmtId="0" fontId="2" fillId="0" borderId="0" xfId="0" applyFont="1"/>
    <xf numFmtId="0" fontId="17" fillId="0" borderId="0" xfId="0" applyFont="1"/>
    <xf numFmtId="0" fontId="2" fillId="0" borderId="9" xfId="0" applyFont="1" applyBorder="1"/>
    <xf numFmtId="0" fontId="2" fillId="2" borderId="9" xfId="0" applyFont="1" applyFill="1" applyBorder="1" applyProtection="1">
      <protection locked="0"/>
    </xf>
    <xf numFmtId="0" fontId="2" fillId="2" borderId="16" xfId="0" applyFont="1" applyFill="1" applyBorder="1" applyProtection="1">
      <protection locked="0"/>
    </xf>
    <xf numFmtId="164" fontId="2" fillId="2" borderId="9" xfId="0" applyNumberFormat="1" applyFont="1" applyFill="1" applyBorder="1" applyProtection="1">
      <protection locked="0"/>
    </xf>
    <xf numFmtId="9" fontId="2" fillId="2" borderId="9" xfId="1" applyFont="1" applyFill="1" applyBorder="1" applyProtection="1">
      <protection locked="0"/>
    </xf>
    <xf numFmtId="3" fontId="2" fillId="2" borderId="13" xfId="0" applyNumberFormat="1" applyFont="1" applyFill="1" applyBorder="1" applyProtection="1">
      <protection locked="0"/>
    </xf>
    <xf numFmtId="3" fontId="2" fillId="2" borderId="16" xfId="0" applyNumberFormat="1" applyFont="1" applyFill="1" applyBorder="1" applyProtection="1">
      <protection locked="0"/>
    </xf>
    <xf numFmtId="165" fontId="2" fillId="2" borderId="12" xfId="0" applyNumberFormat="1" applyFont="1" applyFill="1" applyBorder="1" applyProtection="1">
      <protection locked="0"/>
    </xf>
    <xf numFmtId="9" fontId="2" fillId="2" borderId="16" xfId="0" applyNumberFormat="1" applyFont="1" applyFill="1" applyBorder="1" applyProtection="1">
      <protection locked="0"/>
    </xf>
    <xf numFmtId="3" fontId="2" fillId="2" borderId="9" xfId="0" applyNumberFormat="1" applyFont="1" applyFill="1" applyBorder="1" applyProtection="1">
      <protection locked="0"/>
    </xf>
    <xf numFmtId="165" fontId="2" fillId="2" borderId="9" xfId="0" applyNumberFormat="1" applyFont="1" applyFill="1" applyBorder="1" applyProtection="1">
      <protection locked="0"/>
    </xf>
    <xf numFmtId="3" fontId="20" fillId="2" borderId="13" xfId="0" applyNumberFormat="1" applyFont="1" applyFill="1" applyBorder="1" applyProtection="1">
      <protection locked="0"/>
    </xf>
    <xf numFmtId="3" fontId="17" fillId="2" borderId="16" xfId="0" applyNumberFormat="1" applyFont="1" applyFill="1" applyBorder="1" applyProtection="1">
      <protection locked="0"/>
    </xf>
    <xf numFmtId="3" fontId="2" fillId="2" borderId="25" xfId="0" applyNumberFormat="1" applyFont="1" applyFill="1" applyBorder="1" applyProtection="1">
      <protection locked="0"/>
    </xf>
    <xf numFmtId="9" fontId="2" fillId="2" borderId="25" xfId="0" applyNumberFormat="1" applyFont="1" applyFill="1" applyBorder="1" applyProtection="1">
      <protection locked="0"/>
    </xf>
    <xf numFmtId="9" fontId="2" fillId="0" borderId="13" xfId="1" applyFont="1" applyFill="1" applyBorder="1" applyProtection="1"/>
    <xf numFmtId="9" fontId="2" fillId="2" borderId="9" xfId="0" applyNumberFormat="1" applyFont="1" applyFill="1" applyBorder="1" applyProtection="1">
      <protection locked="0"/>
    </xf>
    <xf numFmtId="3" fontId="20" fillId="2" borderId="16" xfId="0" applyNumberFormat="1" applyFont="1" applyFill="1" applyBorder="1" applyProtection="1">
      <protection locked="0"/>
    </xf>
    <xf numFmtId="3" fontId="24" fillId="2" borderId="16" xfId="0" applyNumberFormat="1" applyFont="1" applyFill="1" applyBorder="1" applyProtection="1">
      <protection locked="0"/>
    </xf>
    <xf numFmtId="0" fontId="2" fillId="6" borderId="9" xfId="0" applyFont="1" applyFill="1" applyBorder="1" applyProtection="1">
      <protection locked="0"/>
    </xf>
    <xf numFmtId="0" fontId="17" fillId="0" borderId="9" xfId="0" applyFont="1" applyBorder="1"/>
    <xf numFmtId="0" fontId="2" fillId="0" borderId="0" xfId="0" applyFont="1" applyAlignment="1">
      <alignment vertical="center"/>
    </xf>
    <xf numFmtId="0" fontId="19" fillId="0" borderId="0" xfId="0" applyFont="1"/>
    <xf numFmtId="0" fontId="18" fillId="0" borderId="0" xfId="0" applyFont="1"/>
    <xf numFmtId="0" fontId="17" fillId="0" borderId="2" xfId="0" applyFont="1" applyBorder="1"/>
    <xf numFmtId="0" fontId="2" fillId="0" borderId="3" xfId="0" applyFont="1" applyBorder="1"/>
    <xf numFmtId="0" fontId="2" fillId="0" borderId="4" xfId="0" applyFont="1" applyBorder="1"/>
    <xf numFmtId="0" fontId="2" fillId="0" borderId="10" xfId="0" applyFont="1" applyBorder="1"/>
    <xf numFmtId="0" fontId="19" fillId="0" borderId="19" xfId="0" applyFont="1" applyBorder="1"/>
    <xf numFmtId="0" fontId="19" fillId="0" borderId="11" xfId="0" applyFont="1" applyBorder="1"/>
    <xf numFmtId="0" fontId="2" fillId="2" borderId="5" xfId="0" applyFont="1" applyFill="1" applyBorder="1"/>
    <xf numFmtId="0" fontId="2" fillId="0" borderId="6" xfId="0" applyFont="1" applyBorder="1"/>
    <xf numFmtId="0" fontId="2" fillId="0" borderId="19" xfId="0" applyFont="1" applyBorder="1"/>
    <xf numFmtId="0" fontId="2" fillId="0" borderId="11" xfId="0" applyFont="1" applyBorder="1"/>
    <xf numFmtId="0" fontId="2" fillId="0" borderId="5" xfId="0" applyFont="1" applyBorder="1"/>
    <xf numFmtId="0" fontId="2" fillId="3" borderId="5" xfId="0" applyFont="1" applyFill="1" applyBorder="1"/>
    <xf numFmtId="0" fontId="2" fillId="0" borderId="0" xfId="0" applyFont="1" applyAlignment="1">
      <alignment horizontal="center"/>
    </xf>
    <xf numFmtId="0" fontId="2" fillId="0" borderId="7" xfId="0" applyFont="1" applyBorder="1"/>
    <xf numFmtId="0" fontId="2" fillId="0" borderId="1" xfId="0" applyFont="1" applyBorder="1"/>
    <xf numFmtId="0" fontId="2" fillId="0" borderId="8" xfId="0" applyFont="1" applyBorder="1"/>
    <xf numFmtId="0" fontId="21" fillId="0" borderId="0" xfId="0" applyFont="1"/>
    <xf numFmtId="0" fontId="2" fillId="4" borderId="12" xfId="0" applyFont="1" applyFill="1" applyBorder="1" applyAlignment="1">
      <alignment vertical="center"/>
    </xf>
    <xf numFmtId="0" fontId="2" fillId="4" borderId="25" xfId="0" applyFont="1" applyFill="1" applyBorder="1" applyAlignment="1">
      <alignment vertical="center"/>
    </xf>
    <xf numFmtId="0" fontId="2" fillId="4" borderId="16" xfId="0" applyFont="1" applyFill="1" applyBorder="1" applyAlignment="1">
      <alignment vertical="center"/>
    </xf>
    <xf numFmtId="0" fontId="2" fillId="4" borderId="25" xfId="0" applyFont="1" applyFill="1" applyBorder="1"/>
    <xf numFmtId="0" fontId="2" fillId="4" borderId="13" xfId="0" applyFont="1" applyFill="1" applyBorder="1"/>
    <xf numFmtId="0" fontId="2" fillId="4" borderId="29" xfId="0" applyFont="1" applyFill="1" applyBorder="1" applyAlignment="1">
      <alignment vertical="center"/>
    </xf>
    <xf numFmtId="0" fontId="2" fillId="4" borderId="0" xfId="0" applyFont="1" applyFill="1" applyAlignment="1">
      <alignment vertical="center"/>
    </xf>
    <xf numFmtId="0" fontId="2" fillId="4" borderId="18" xfId="0" applyFont="1" applyFill="1" applyBorder="1" applyAlignment="1">
      <alignment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2" fillId="4" borderId="9" xfId="0" applyFont="1" applyFill="1" applyBorder="1"/>
    <xf numFmtId="0" fontId="2" fillId="4" borderId="14" xfId="0" applyFont="1" applyFill="1" applyBorder="1" applyAlignment="1">
      <alignment vertical="center"/>
    </xf>
    <xf numFmtId="0" fontId="2" fillId="4" borderId="20" xfId="0" applyFont="1" applyFill="1" applyBorder="1" applyAlignment="1">
      <alignment vertical="center"/>
    </xf>
    <xf numFmtId="0" fontId="2" fillId="4" borderId="17" xfId="0" applyFont="1" applyFill="1" applyBorder="1" applyAlignment="1">
      <alignment vertical="center"/>
    </xf>
    <xf numFmtId="0" fontId="2" fillId="4" borderId="17" xfId="0" applyFont="1" applyFill="1" applyBorder="1"/>
    <xf numFmtId="0" fontId="2" fillId="4" borderId="9" xfId="0" quotePrefix="1" applyFont="1" applyFill="1" applyBorder="1"/>
    <xf numFmtId="2" fontId="2" fillId="0" borderId="9" xfId="0" applyNumberFormat="1" applyFont="1" applyBorder="1"/>
    <xf numFmtId="164" fontId="2" fillId="0" borderId="9" xfId="0" applyNumberFormat="1" applyFont="1" applyBorder="1"/>
    <xf numFmtId="3" fontId="2" fillId="0" borderId="9" xfId="0" applyNumberFormat="1" applyFont="1" applyBorder="1"/>
    <xf numFmtId="3" fontId="2" fillId="0" borderId="0" xfId="0" applyNumberFormat="1" applyFont="1"/>
    <xf numFmtId="0" fontId="2" fillId="0" borderId="16" xfId="0" applyFont="1" applyBorder="1"/>
    <xf numFmtId="0" fontId="2" fillId="0" borderId="29" xfId="0" applyFont="1" applyBorder="1"/>
    <xf numFmtId="0" fontId="17" fillId="0" borderId="20" xfId="0" applyFont="1" applyBorder="1"/>
    <xf numFmtId="0" fontId="2" fillId="0" borderId="20" xfId="0" applyFont="1" applyBorder="1"/>
    <xf numFmtId="0" fontId="17" fillId="0" borderId="15" xfId="0" applyFont="1" applyBorder="1"/>
    <xf numFmtId="2" fontId="17" fillId="0" borderId="10" xfId="0" applyNumberFormat="1" applyFont="1" applyBorder="1"/>
    <xf numFmtId="3" fontId="17" fillId="0" borderId="9" xfId="0" applyNumberFormat="1" applyFont="1" applyBorder="1"/>
    <xf numFmtId="3" fontId="17" fillId="0" borderId="0" xfId="0" applyNumberFormat="1" applyFont="1"/>
    <xf numFmtId="0" fontId="17" fillId="0" borderId="19" xfId="0" applyFont="1" applyBorder="1"/>
    <xf numFmtId="2" fontId="17" fillId="0" borderId="19" xfId="0" applyNumberFormat="1" applyFont="1" applyBorder="1"/>
    <xf numFmtId="0" fontId="17" fillId="0" borderId="10" xfId="0" applyFont="1" applyBorder="1"/>
    <xf numFmtId="2" fontId="17" fillId="0" borderId="0" xfId="0" applyNumberFormat="1" applyFont="1"/>
    <xf numFmtId="0" fontId="2" fillId="4" borderId="12" xfId="0" applyFont="1" applyFill="1" applyBorder="1"/>
    <xf numFmtId="0" fontId="2" fillId="4" borderId="16" xfId="0" applyFont="1" applyFill="1" applyBorder="1"/>
    <xf numFmtId="3" fontId="2" fillId="4" borderId="16" xfId="0" applyNumberFormat="1" applyFont="1" applyFill="1" applyBorder="1"/>
    <xf numFmtId="0" fontId="2" fillId="4" borderId="29" xfId="0" applyFont="1" applyFill="1" applyBorder="1"/>
    <xf numFmtId="0" fontId="2" fillId="4" borderId="0" xfId="0" applyFont="1" applyFill="1"/>
    <xf numFmtId="0" fontId="2" fillId="4" borderId="14" xfId="0" applyFont="1" applyFill="1" applyBorder="1"/>
    <xf numFmtId="0" fontId="2" fillId="4" borderId="18" xfId="0" applyFont="1" applyFill="1" applyBorder="1"/>
    <xf numFmtId="0" fontId="20" fillId="4" borderId="30" xfId="0" applyFont="1" applyFill="1" applyBorder="1"/>
    <xf numFmtId="3" fontId="2" fillId="4" borderId="17" xfId="0" applyNumberFormat="1" applyFont="1" applyFill="1" applyBorder="1"/>
    <xf numFmtId="3" fontId="2" fillId="0" borderId="16" xfId="0" applyNumberFormat="1" applyFont="1" applyBorder="1"/>
    <xf numFmtId="3" fontId="17" fillId="0" borderId="16" xfId="0" applyNumberFormat="1" applyFont="1" applyBorder="1"/>
    <xf numFmtId="3" fontId="2" fillId="0" borderId="11" xfId="0" applyNumberFormat="1" applyFont="1" applyBorder="1"/>
    <xf numFmtId="3" fontId="2" fillId="0" borderId="19" xfId="0" applyNumberFormat="1" applyFont="1" applyBorder="1"/>
    <xf numFmtId="3" fontId="2" fillId="0" borderId="25" xfId="0" applyNumberFormat="1" applyFont="1" applyBorder="1"/>
    <xf numFmtId="3" fontId="2" fillId="0" borderId="20" xfId="0" applyNumberFormat="1" applyFont="1" applyBorder="1"/>
    <xf numFmtId="3" fontId="2" fillId="4" borderId="18" xfId="0" applyNumberFormat="1" applyFont="1" applyFill="1" applyBorder="1"/>
    <xf numFmtId="0" fontId="2" fillId="4" borderId="30" xfId="0" applyFont="1" applyFill="1" applyBorder="1"/>
    <xf numFmtId="4" fontId="2" fillId="7" borderId="12" xfId="0" applyNumberFormat="1" applyFont="1" applyFill="1" applyBorder="1"/>
    <xf numFmtId="3" fontId="2" fillId="7" borderId="16" xfId="0" applyNumberFormat="1" applyFont="1" applyFill="1" applyBorder="1"/>
    <xf numFmtId="3" fontId="2" fillId="7" borderId="19" xfId="0" applyNumberFormat="1" applyFont="1" applyFill="1" applyBorder="1"/>
    <xf numFmtId="3" fontId="2" fillId="7" borderId="25" xfId="0" applyNumberFormat="1" applyFont="1" applyFill="1" applyBorder="1"/>
    <xf numFmtId="3" fontId="2" fillId="7" borderId="13" xfId="0" applyNumberFormat="1" applyFont="1" applyFill="1" applyBorder="1"/>
    <xf numFmtId="0" fontId="2" fillId="7" borderId="19" xfId="0" applyFont="1" applyFill="1" applyBorder="1"/>
    <xf numFmtId="3" fontId="2" fillId="7" borderId="9" xfId="0" applyNumberFormat="1" applyFont="1" applyFill="1" applyBorder="1"/>
    <xf numFmtId="3" fontId="2" fillId="0" borderId="15" xfId="0" applyNumberFormat="1" applyFont="1" applyBorder="1"/>
    <xf numFmtId="3" fontId="2" fillId="0" borderId="17" xfId="0" applyNumberFormat="1" applyFont="1" applyBorder="1"/>
    <xf numFmtId="0" fontId="2" fillId="0" borderId="25" xfId="0" applyFont="1" applyBorder="1"/>
    <xf numFmtId="3" fontId="17" fillId="0" borderId="36" xfId="0" applyNumberFormat="1" applyFont="1" applyBorder="1"/>
    <xf numFmtId="3" fontId="2" fillId="0" borderId="13" xfId="0" applyNumberFormat="1" applyFont="1" applyBorder="1"/>
    <xf numFmtId="3" fontId="17" fillId="2" borderId="9" xfId="0" applyNumberFormat="1" applyFont="1" applyFill="1" applyBorder="1" applyProtection="1">
      <protection locked="0"/>
    </xf>
    <xf numFmtId="0" fontId="19" fillId="0" borderId="0" xfId="0" applyFont="1" applyAlignment="1">
      <alignment horizontal="right"/>
    </xf>
    <xf numFmtId="0" fontId="2" fillId="6" borderId="10" xfId="0" applyFont="1" applyFill="1" applyBorder="1" applyProtection="1">
      <protection locked="0"/>
    </xf>
    <xf numFmtId="0" fontId="2" fillId="6" borderId="19" xfId="0" applyFont="1" applyFill="1" applyBorder="1" applyProtection="1">
      <protection locked="0"/>
    </xf>
    <xf numFmtId="0" fontId="2" fillId="6" borderId="14" xfId="0" applyFont="1" applyFill="1" applyBorder="1" applyProtection="1">
      <protection locked="0"/>
    </xf>
    <xf numFmtId="0" fontId="2" fillId="6" borderId="20" xfId="0" applyFont="1" applyFill="1" applyBorder="1" applyProtection="1">
      <protection locked="0"/>
    </xf>
    <xf numFmtId="0" fontId="2" fillId="0" borderId="12" xfId="0" applyFont="1" applyBorder="1" applyAlignment="1">
      <alignment horizontal="left"/>
    </xf>
    <xf numFmtId="0" fontId="2" fillId="0" borderId="25" xfId="0" applyFont="1" applyBorder="1" applyAlignment="1">
      <alignment horizontal="left"/>
    </xf>
    <xf numFmtId="0" fontId="2" fillId="0" borderId="10" xfId="0" applyFont="1" applyBorder="1" applyAlignment="1">
      <alignment horizontal="left"/>
    </xf>
    <xf numFmtId="0" fontId="2" fillId="0" borderId="11" xfId="0" applyFont="1" applyBorder="1" applyAlignment="1">
      <alignment horizontal="left"/>
    </xf>
    <xf numFmtId="0" fontId="2" fillId="0" borderId="19" xfId="0" applyFont="1" applyBorder="1" applyAlignment="1">
      <alignment horizontal="left"/>
    </xf>
    <xf numFmtId="0" fontId="2" fillId="2" borderId="10" xfId="0" applyFont="1" applyFill="1" applyBorder="1" applyProtection="1">
      <protection locked="0"/>
    </xf>
    <xf numFmtId="0" fontId="2" fillId="2" borderId="19" xfId="0" applyFont="1" applyFill="1" applyBorder="1" applyProtection="1">
      <protection locked="0"/>
    </xf>
    <xf numFmtId="0" fontId="2" fillId="2" borderId="11" xfId="0" applyFont="1" applyFill="1" applyBorder="1" applyProtection="1">
      <protection locked="0"/>
    </xf>
    <xf numFmtId="3" fontId="2" fillId="7" borderId="19" xfId="0" applyNumberFormat="1" applyFont="1" applyFill="1" applyBorder="1" applyAlignment="1">
      <alignment horizontal="center"/>
    </xf>
    <xf numFmtId="3" fontId="2" fillId="7" borderId="11" xfId="0" applyNumberFormat="1" applyFont="1" applyFill="1" applyBorder="1" applyAlignment="1">
      <alignment horizontal="center"/>
    </xf>
    <xf numFmtId="0" fontId="2" fillId="4" borderId="12" xfId="0" applyFont="1" applyFill="1" applyBorder="1"/>
    <xf numFmtId="0" fontId="2" fillId="4" borderId="25" xfId="0" applyFont="1" applyFill="1" applyBorder="1"/>
    <xf numFmtId="0" fontId="2" fillId="4" borderId="13" xfId="0" applyFont="1" applyFill="1" applyBorder="1"/>
    <xf numFmtId="0" fontId="2" fillId="6" borderId="12" xfId="0" applyFont="1" applyFill="1" applyBorder="1" applyProtection="1">
      <protection locked="0"/>
    </xf>
    <xf numFmtId="0" fontId="2" fillId="6" borderId="25" xfId="0" applyFont="1" applyFill="1" applyBorder="1" applyProtection="1">
      <protection locked="0"/>
    </xf>
    <xf numFmtId="0" fontId="2" fillId="6" borderId="10" xfId="0" applyFont="1" applyFill="1" applyBorder="1" applyAlignment="1" applyProtection="1">
      <alignment horizontal="left"/>
      <protection locked="0"/>
    </xf>
    <xf numFmtId="0" fontId="2" fillId="6" borderId="11" xfId="0" applyFont="1" applyFill="1" applyBorder="1" applyAlignment="1" applyProtection="1">
      <alignment horizontal="left"/>
      <protection locked="0"/>
    </xf>
    <xf numFmtId="0" fontId="20" fillId="0" borderId="10" xfId="0" applyFont="1" applyBorder="1" applyAlignment="1">
      <alignment horizontal="left"/>
    </xf>
    <xf numFmtId="0" fontId="20" fillId="0" borderId="19" xfId="0" applyFont="1" applyBorder="1" applyAlignment="1">
      <alignment horizontal="left"/>
    </xf>
    <xf numFmtId="0" fontId="17" fillId="0" borderId="33" xfId="0" applyFont="1" applyBorder="1"/>
    <xf numFmtId="0" fontId="17" fillId="0" borderId="34" xfId="0" applyFont="1" applyBorder="1"/>
    <xf numFmtId="0" fontId="17" fillId="0" borderId="35" xfId="0" applyFont="1" applyBorder="1"/>
    <xf numFmtId="0" fontId="2" fillId="4" borderId="14" xfId="0" applyFont="1" applyFill="1" applyBorder="1"/>
    <xf numFmtId="0" fontId="2" fillId="4" borderId="20" xfId="0" applyFont="1" applyFill="1" applyBorder="1"/>
    <xf numFmtId="0" fontId="2" fillId="4" borderId="15" xfId="0" applyFont="1" applyFill="1" applyBorder="1"/>
    <xf numFmtId="0" fontId="2" fillId="0" borderId="10" xfId="0" applyFont="1" applyBorder="1"/>
    <xf numFmtId="0" fontId="2" fillId="0" borderId="19" xfId="0" applyFont="1" applyBorder="1"/>
    <xf numFmtId="0" fontId="2" fillId="0" borderId="11" xfId="0" applyFont="1" applyBorder="1"/>
    <xf numFmtId="0" fontId="2" fillId="0" borderId="12" xfId="0" applyFont="1" applyBorder="1"/>
    <xf numFmtId="0" fontId="2" fillId="0" borderId="25" xfId="0" applyFont="1" applyBorder="1"/>
    <xf numFmtId="0" fontId="2" fillId="0" borderId="13" xfId="0" applyFont="1" applyBorder="1"/>
    <xf numFmtId="0" fontId="0" fillId="0" borderId="19" xfId="0" applyBorder="1" applyProtection="1">
      <protection locked="0"/>
    </xf>
    <xf numFmtId="0" fontId="0" fillId="0" borderId="11" xfId="0" applyBorder="1" applyProtection="1">
      <protection locked="0"/>
    </xf>
    <xf numFmtId="3" fontId="2" fillId="0" borderId="10" xfId="0" applyNumberFormat="1" applyFont="1" applyBorder="1" applyAlignment="1">
      <alignment horizontal="right"/>
    </xf>
    <xf numFmtId="3" fontId="2" fillId="0" borderId="11" xfId="0" applyNumberFormat="1" applyFont="1" applyBorder="1" applyAlignment="1">
      <alignment horizontal="right"/>
    </xf>
    <xf numFmtId="0" fontId="2" fillId="7" borderId="19" xfId="0" applyFont="1" applyFill="1" applyBorder="1" applyAlignment="1">
      <alignment horizontal="center"/>
    </xf>
    <xf numFmtId="0" fontId="2" fillId="7" borderId="11" xfId="0" applyFont="1" applyFill="1" applyBorder="1" applyAlignment="1">
      <alignment horizontal="center"/>
    </xf>
    <xf numFmtId="3" fontId="2" fillId="0" borderId="13" xfId="0" applyNumberFormat="1" applyFont="1" applyBorder="1" applyAlignment="1">
      <alignment horizontal="right"/>
    </xf>
    <xf numFmtId="3" fontId="2" fillId="0" borderId="12" xfId="0" applyNumberFormat="1" applyFont="1" applyBorder="1" applyAlignment="1">
      <alignment horizontal="right"/>
    </xf>
    <xf numFmtId="0" fontId="20" fillId="0" borderId="10" xfId="0" applyFont="1" applyBorder="1" applyAlignment="1">
      <alignment horizontal="left" vertical="top"/>
    </xf>
    <xf numFmtId="0" fontId="20" fillId="0" borderId="19" xfId="0" applyFont="1" applyBorder="1" applyAlignment="1">
      <alignment horizontal="left" vertical="top"/>
    </xf>
    <xf numFmtId="0" fontId="12" fillId="0" borderId="9" xfId="4" applyBorder="1" applyAlignment="1">
      <alignment horizontal="center"/>
    </xf>
    <xf numFmtId="0" fontId="12" fillId="0" borderId="10" xfId="4" applyBorder="1" applyAlignment="1">
      <alignment horizontal="center"/>
    </xf>
    <xf numFmtId="0" fontId="12" fillId="0" borderId="19" xfId="4" applyBorder="1" applyAlignment="1">
      <alignment horizontal="center"/>
    </xf>
    <xf numFmtId="0" fontId="12" fillId="0" borderId="11" xfId="4" applyBorder="1" applyAlignment="1">
      <alignment horizontal="center"/>
    </xf>
  </cellXfs>
  <cellStyles count="5">
    <cellStyle name="Komma 2" xfId="3" xr:uid="{00000000-0005-0000-0000-000001000000}"/>
    <cellStyle name="Link" xfId="4" builtinId="8"/>
    <cellStyle name="Prozent" xfId="1" builtinId="5"/>
    <cellStyle name="Standard" xfId="0" builtinId="0"/>
    <cellStyle name="Standard 2" xfId="2" xr:uid="{00000000-0005-0000-0000-000005000000}"/>
  </cellStyles>
  <dxfs count="0"/>
  <tableStyles count="0" defaultTableStyle="TableStyleMedium2" defaultPivotStyle="PivotStyleLight16"/>
  <colors>
    <mruColors>
      <color rgb="FFF6EBAC"/>
      <color rgb="FFFF3300"/>
      <color rgb="FF99FF99"/>
      <color rgb="FFCCFFCC"/>
      <color rgb="FFFF6600"/>
      <color rgb="FFFF9966"/>
      <color rgb="FFFF7C80"/>
      <color rgb="FFFF61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8" Type="http://schemas.openxmlformats.org/officeDocument/2006/relationships/hyperlink" Target="mailto:mario.buehler@plantahof.gr.ch" TargetMode="External"/><Relationship Id="rId3" Type="http://schemas.openxmlformats.org/officeDocument/2006/relationships/hyperlink" Target="mailto:gion.michel@plantahof.gr.ch" TargetMode="External"/><Relationship Id="rId7" Type="http://schemas.openxmlformats.org/officeDocument/2006/relationships/hyperlink" Target="mailto:patrick.doenz@plantahof.gr.ch" TargetMode="External"/><Relationship Id="rId12" Type="http://schemas.openxmlformats.org/officeDocument/2006/relationships/comments" Target="../comments3.xml"/><Relationship Id="rId2" Type="http://schemas.openxmlformats.org/officeDocument/2006/relationships/hyperlink" Target="mailto:maja.boner@plantahof.gr.ch" TargetMode="External"/><Relationship Id="rId1" Type="http://schemas.openxmlformats.org/officeDocument/2006/relationships/printerSettings" Target="../printerSettings/printerSettings6.bin"/><Relationship Id="rId6" Type="http://schemas.openxmlformats.org/officeDocument/2006/relationships/hyperlink" Target="mailto:pierina.rizzi@plantahof.gr.ch" TargetMode="External"/><Relationship Id="rId11" Type="http://schemas.openxmlformats.org/officeDocument/2006/relationships/vmlDrawing" Target="../drawings/vmlDrawing4.vml"/><Relationship Id="rId5" Type="http://schemas.openxmlformats.org/officeDocument/2006/relationships/hyperlink" Target="mailto:susanne.simonett-sinz@plantahof.gr.ch" TargetMode="External"/><Relationship Id="rId10" Type="http://schemas.openxmlformats.org/officeDocument/2006/relationships/printerSettings" Target="../printerSettings/printerSettings7.bin"/><Relationship Id="rId4" Type="http://schemas.openxmlformats.org/officeDocument/2006/relationships/hyperlink" Target="mailto:giannamartina.peer@plantahof.gr.ch" TargetMode="External"/><Relationship Id="rId9" Type="http://schemas.openxmlformats.org/officeDocument/2006/relationships/hyperlink" Target="mailto:svenja.simmen@plantahof.gr.ch"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tabColor rgb="FF00B050"/>
    <pageSetUpPr fitToPage="1"/>
  </sheetPr>
  <dimension ref="A1:W64"/>
  <sheetViews>
    <sheetView showZeros="0" tabSelected="1" topLeftCell="A28" zoomScaleNormal="100" workbookViewId="0">
      <selection activeCell="K7" sqref="K7"/>
    </sheetView>
  </sheetViews>
  <sheetFormatPr baseColWidth="10" defaultColWidth="11.5703125" defaultRowHeight="13.5" x14ac:dyDescent="0.25"/>
  <cols>
    <col min="1" max="1" width="0.42578125" style="113" customWidth="1"/>
    <col min="2" max="2" width="12.42578125" style="113" customWidth="1"/>
    <col min="3" max="3" width="4.5703125" style="113" customWidth="1"/>
    <col min="4" max="4" width="19.85546875" style="113" customWidth="1"/>
    <col min="5" max="5" width="9.140625" style="113" customWidth="1"/>
    <col min="6" max="6" width="10.42578125" style="113" customWidth="1"/>
    <col min="7" max="7" width="6.5703125" style="113" customWidth="1"/>
    <col min="8" max="8" width="7.42578125" style="113" customWidth="1"/>
    <col min="9" max="9" width="10.5703125" style="113" customWidth="1"/>
    <col min="10" max="10" width="9.140625" style="113" customWidth="1"/>
    <col min="11" max="12" width="10.5703125" style="113" customWidth="1"/>
    <col min="13" max="13" width="10.140625" style="113" customWidth="1"/>
    <col min="14" max="14" width="1.85546875" style="113" customWidth="1"/>
    <col min="15" max="15" width="8.5703125" style="113" customWidth="1"/>
    <col min="16" max="16" width="1.85546875" style="113" customWidth="1"/>
    <col min="17" max="17" width="40" style="113" customWidth="1"/>
    <col min="18" max="18" width="13.85546875" style="113" customWidth="1"/>
    <col min="19" max="24" width="11.42578125" style="113" customWidth="1"/>
    <col min="25" max="16384" width="11.5703125" style="113"/>
  </cols>
  <sheetData>
    <row r="1" spans="1:18" ht="5.25" customHeight="1" x14ac:dyDescent="0.25"/>
    <row r="2" spans="1:18" ht="20.25" customHeight="1" x14ac:dyDescent="0.3">
      <c r="A2" s="114"/>
      <c r="B2" s="114" t="s">
        <v>522</v>
      </c>
      <c r="H2" s="194"/>
      <c r="I2" s="194"/>
      <c r="J2" s="194"/>
      <c r="K2" s="194"/>
    </row>
    <row r="3" spans="1:18" ht="5.25" customHeight="1" thickBot="1" x14ac:dyDescent="0.3"/>
    <row r="4" spans="1:18" ht="14.45" customHeight="1" x14ac:dyDescent="0.25">
      <c r="B4" s="90" t="s">
        <v>526</v>
      </c>
      <c r="O4" s="115" t="s">
        <v>136</v>
      </c>
      <c r="P4" s="116"/>
      <c r="Q4" s="117"/>
    </row>
    <row r="5" spans="1:18" ht="15" x14ac:dyDescent="0.25">
      <c r="B5" s="118" t="s">
        <v>529</v>
      </c>
      <c r="C5" s="119"/>
      <c r="D5" s="120"/>
      <c r="E5" s="204"/>
      <c r="F5" s="230"/>
      <c r="G5" s="231"/>
      <c r="I5" s="89"/>
      <c r="J5" s="89"/>
      <c r="K5" s="89"/>
      <c r="L5" s="89"/>
      <c r="O5" s="121"/>
      <c r="P5" s="89"/>
      <c r="Q5" s="122" t="s">
        <v>141</v>
      </c>
    </row>
    <row r="6" spans="1:18" ht="15" x14ac:dyDescent="0.25">
      <c r="B6" s="118" t="s">
        <v>328</v>
      </c>
      <c r="C6" s="119"/>
      <c r="D6" s="119"/>
      <c r="E6" s="92"/>
      <c r="F6" s="123" t="s">
        <v>6</v>
      </c>
      <c r="G6" s="124"/>
      <c r="L6" s="89"/>
      <c r="O6" s="125"/>
      <c r="P6" s="89"/>
      <c r="Q6" s="122"/>
    </row>
    <row r="7" spans="1:18" ht="15" x14ac:dyDescent="0.25">
      <c r="B7" s="118" t="s">
        <v>41</v>
      </c>
      <c r="C7" s="119"/>
      <c r="D7" s="119"/>
      <c r="E7" s="92"/>
      <c r="F7" s="123" t="s">
        <v>39</v>
      </c>
      <c r="G7" s="124"/>
      <c r="L7" s="89"/>
      <c r="O7" s="126"/>
      <c r="P7" s="89"/>
      <c r="Q7" s="122" t="s">
        <v>143</v>
      </c>
    </row>
    <row r="8" spans="1:18" ht="15" x14ac:dyDescent="0.25">
      <c r="B8" s="118" t="s">
        <v>515</v>
      </c>
      <c r="C8" s="119"/>
      <c r="D8" s="119"/>
      <c r="E8" s="110"/>
      <c r="F8" s="119"/>
      <c r="G8" s="124"/>
      <c r="L8" s="89"/>
      <c r="O8" s="125"/>
      <c r="P8" s="89"/>
      <c r="Q8" s="122"/>
    </row>
    <row r="9" spans="1:18" ht="15.75" thickBot="1" x14ac:dyDescent="0.3">
      <c r="B9" s="89"/>
      <c r="C9" s="89"/>
      <c r="D9" s="89"/>
      <c r="E9" s="89"/>
      <c r="F9" s="89"/>
      <c r="G9" s="127"/>
      <c r="H9" s="127"/>
      <c r="I9" s="127"/>
      <c r="J9" s="127"/>
      <c r="K9" s="89"/>
      <c r="L9" s="89"/>
      <c r="O9" s="128"/>
      <c r="P9" s="129"/>
      <c r="Q9" s="130" t="s">
        <v>142</v>
      </c>
    </row>
    <row r="10" spans="1:18" ht="15.75" x14ac:dyDescent="0.25">
      <c r="A10" s="131"/>
      <c r="B10" s="90" t="s">
        <v>527</v>
      </c>
      <c r="C10" s="89"/>
      <c r="D10" s="89"/>
      <c r="E10" s="89"/>
      <c r="F10" s="89"/>
      <c r="G10" s="89"/>
      <c r="H10" s="89"/>
      <c r="I10" s="89"/>
      <c r="J10" s="89"/>
      <c r="K10" s="89"/>
      <c r="L10" s="89"/>
      <c r="P10" s="89"/>
      <c r="Q10" s="89"/>
    </row>
    <row r="11" spans="1:18" ht="15" x14ac:dyDescent="0.25">
      <c r="B11" s="132" t="s">
        <v>8</v>
      </c>
      <c r="C11" s="133"/>
      <c r="D11" s="133"/>
      <c r="E11" s="134"/>
      <c r="F11" s="134"/>
      <c r="G11" s="133"/>
      <c r="H11" s="133"/>
      <c r="I11" s="135" t="s">
        <v>5</v>
      </c>
      <c r="J11" s="135"/>
      <c r="K11" s="136"/>
      <c r="L11" s="89"/>
      <c r="P11" s="89"/>
      <c r="Q11" s="89"/>
      <c r="R11" s="89"/>
    </row>
    <row r="12" spans="1:18" ht="15" x14ac:dyDescent="0.25">
      <c r="B12" s="137"/>
      <c r="C12" s="138"/>
      <c r="D12" s="138"/>
      <c r="E12" s="139"/>
      <c r="F12" s="139"/>
      <c r="G12" s="140" t="s">
        <v>1</v>
      </c>
      <c r="H12" s="141"/>
      <c r="I12" s="142" t="s">
        <v>71</v>
      </c>
      <c r="J12" s="142" t="s">
        <v>70</v>
      </c>
      <c r="K12" s="142" t="s">
        <v>524</v>
      </c>
      <c r="L12" s="89"/>
      <c r="P12" s="89"/>
      <c r="Q12" s="89"/>
      <c r="R12" s="89"/>
    </row>
    <row r="13" spans="1:18" ht="17.25" customHeight="1" x14ac:dyDescent="0.25">
      <c r="B13" s="143"/>
      <c r="C13" s="144"/>
      <c r="D13" s="144"/>
      <c r="E13" s="145" t="s">
        <v>69</v>
      </c>
      <c r="F13" s="146" t="s">
        <v>0</v>
      </c>
      <c r="G13" s="146" t="s">
        <v>35</v>
      </c>
      <c r="H13" s="146" t="s">
        <v>29</v>
      </c>
      <c r="I13" s="142" t="s">
        <v>147</v>
      </c>
      <c r="J13" s="147" t="s">
        <v>148</v>
      </c>
      <c r="K13" s="142" t="s">
        <v>146</v>
      </c>
      <c r="L13" s="89"/>
      <c r="P13" s="89"/>
      <c r="Q13" s="89"/>
    </row>
    <row r="14" spans="1:18" ht="15" x14ac:dyDescent="0.25">
      <c r="B14" s="195"/>
      <c r="C14" s="196"/>
      <c r="D14" s="196"/>
      <c r="E14" s="91">
        <f>VLOOKUP($B14,'Tab-HD'!$A$21:$F$55,2,FALSE)</f>
        <v>0</v>
      </c>
      <c r="F14" s="92"/>
      <c r="G14" s="91">
        <f>VLOOKUP($B14,'Tab-HD'!$A$22:$F$56,3,FALSE)</f>
        <v>0</v>
      </c>
      <c r="H14" s="148">
        <f t="shared" ref="H14:H30" si="0">F14*G14</f>
        <v>0</v>
      </c>
      <c r="I14" s="149">
        <f>VLOOKUP($B14,'Tab-HD'!$A$22:$F$56,6,FALSE)</f>
        <v>0</v>
      </c>
      <c r="J14" s="92"/>
      <c r="K14" s="150">
        <f t="shared" ref="K14:K30" si="1">F14*(I14+J14)*$E$6/100</f>
        <v>0</v>
      </c>
      <c r="L14" s="151"/>
      <c r="N14" s="89"/>
      <c r="O14" s="89"/>
      <c r="P14" s="89"/>
      <c r="Q14" s="89"/>
      <c r="R14" s="89"/>
    </row>
    <row r="15" spans="1:18" ht="15" x14ac:dyDescent="0.25">
      <c r="B15" s="195"/>
      <c r="C15" s="196"/>
      <c r="D15" s="196"/>
      <c r="E15" s="91">
        <f>VLOOKUP($B15,'Tab-HD'!$A$21:$F$55,2,FALSE)</f>
        <v>0</v>
      </c>
      <c r="F15" s="92"/>
      <c r="G15" s="91">
        <f>VLOOKUP($B15,'Tab-HD'!$A$22:$F$56,3,FALSE)</f>
        <v>0</v>
      </c>
      <c r="H15" s="148">
        <f t="shared" si="0"/>
        <v>0</v>
      </c>
      <c r="I15" s="149">
        <f>VLOOKUP($B15,'Tab-HD'!$A$22:$F$56,6,FALSE)</f>
        <v>0</v>
      </c>
      <c r="J15" s="92"/>
      <c r="K15" s="150">
        <f t="shared" si="1"/>
        <v>0</v>
      </c>
      <c r="L15" s="151"/>
      <c r="M15" s="89"/>
    </row>
    <row r="16" spans="1:18" ht="15" customHeight="1" x14ac:dyDescent="0.25">
      <c r="B16" s="195"/>
      <c r="C16" s="196"/>
      <c r="D16" s="196"/>
      <c r="E16" s="91">
        <f>VLOOKUP($B16,'Tab-HD'!$A$21:$F$55,2,FALSE)</f>
        <v>0</v>
      </c>
      <c r="F16" s="92"/>
      <c r="G16" s="91">
        <f>VLOOKUP($B16,'Tab-HD'!$A$22:$F$56,3,FALSE)</f>
        <v>0</v>
      </c>
      <c r="H16" s="148">
        <f t="shared" si="0"/>
        <v>0</v>
      </c>
      <c r="I16" s="149">
        <f>VLOOKUP($B16,'Tab-HD'!$A$22:$F$56,6,FALSE)</f>
        <v>0</v>
      </c>
      <c r="J16" s="92"/>
      <c r="K16" s="150">
        <f t="shared" si="1"/>
        <v>0</v>
      </c>
      <c r="L16" s="151"/>
      <c r="M16" s="89"/>
    </row>
    <row r="17" spans="2:13" ht="15" customHeight="1" x14ac:dyDescent="0.25">
      <c r="B17" s="197"/>
      <c r="C17" s="198"/>
      <c r="D17" s="198"/>
      <c r="E17" s="91">
        <f>VLOOKUP($B17,'Tab-HD'!$A$21:$F$55,2,FALSE)</f>
        <v>0</v>
      </c>
      <c r="F17" s="92"/>
      <c r="G17" s="91">
        <f>VLOOKUP($B17,'Tab-HD'!$A$22:$F$56,3,FALSE)</f>
        <v>0</v>
      </c>
      <c r="H17" s="148">
        <f t="shared" si="0"/>
        <v>0</v>
      </c>
      <c r="I17" s="149">
        <f>VLOOKUP($B17,'Tab-HD'!$A$22:$F$56,6,FALSE)</f>
        <v>0</v>
      </c>
      <c r="J17" s="92"/>
      <c r="K17" s="150">
        <f t="shared" si="1"/>
        <v>0</v>
      </c>
      <c r="L17" s="151"/>
      <c r="M17" s="89"/>
    </row>
    <row r="18" spans="2:13" ht="15" x14ac:dyDescent="0.25">
      <c r="B18" s="195"/>
      <c r="C18" s="196"/>
      <c r="D18" s="196"/>
      <c r="E18" s="91">
        <f>VLOOKUP($B18,'Tab-HD'!$A$21:$F$55,2,FALSE)</f>
        <v>0</v>
      </c>
      <c r="F18" s="92"/>
      <c r="G18" s="91">
        <f>VLOOKUP($B18,'Tab-HD'!$A$22:$F$56,3,FALSE)</f>
        <v>0</v>
      </c>
      <c r="H18" s="148">
        <f t="shared" si="0"/>
        <v>0</v>
      </c>
      <c r="I18" s="149">
        <f>VLOOKUP($B18,'Tab-HD'!$A$22:$F$56,6,FALSE)</f>
        <v>0</v>
      </c>
      <c r="J18" s="92"/>
      <c r="K18" s="150">
        <f t="shared" si="1"/>
        <v>0</v>
      </c>
      <c r="L18" s="151"/>
      <c r="M18" s="89"/>
    </row>
    <row r="19" spans="2:13" ht="15" x14ac:dyDescent="0.25">
      <c r="B19" s="195"/>
      <c r="C19" s="196"/>
      <c r="D19" s="196"/>
      <c r="E19" s="91">
        <f>VLOOKUP($B19,'Tab-HD'!$A$21:$F$55,2,FALSE)</f>
        <v>0</v>
      </c>
      <c r="F19" s="92"/>
      <c r="G19" s="91">
        <f>VLOOKUP($B19,'Tab-HD'!$A$22:$F$56,3,FALSE)</f>
        <v>0</v>
      </c>
      <c r="H19" s="148">
        <f t="shared" si="0"/>
        <v>0</v>
      </c>
      <c r="I19" s="149">
        <f>VLOOKUP($B19,'Tab-HD'!$A$22:$F$56,6,FALSE)</f>
        <v>0</v>
      </c>
      <c r="J19" s="92"/>
      <c r="K19" s="150">
        <f t="shared" si="1"/>
        <v>0</v>
      </c>
      <c r="L19" s="151"/>
      <c r="M19" s="89"/>
    </row>
    <row r="20" spans="2:13" ht="15" x14ac:dyDescent="0.25">
      <c r="B20" s="195"/>
      <c r="C20" s="196"/>
      <c r="D20" s="196"/>
      <c r="E20" s="91">
        <f>VLOOKUP($B20,'Tab-HD'!$A$21:$F$55,2,FALSE)</f>
        <v>0</v>
      </c>
      <c r="F20" s="92"/>
      <c r="G20" s="91">
        <f>VLOOKUP($B20,'Tab-HD'!$A$22:$F$56,3,FALSE)</f>
        <v>0</v>
      </c>
      <c r="H20" s="148">
        <f t="shared" si="0"/>
        <v>0</v>
      </c>
      <c r="I20" s="149">
        <f>VLOOKUP($B20,'Tab-HD'!$A$22:$F$56,6,FALSE)</f>
        <v>0</v>
      </c>
      <c r="J20" s="92"/>
      <c r="K20" s="150">
        <f t="shared" si="1"/>
        <v>0</v>
      </c>
      <c r="L20" s="151"/>
      <c r="M20" s="89"/>
    </row>
    <row r="21" spans="2:13" ht="15" x14ac:dyDescent="0.25">
      <c r="B21" s="195"/>
      <c r="C21" s="196"/>
      <c r="D21" s="196"/>
      <c r="E21" s="91">
        <f>VLOOKUP($B21,'Tab-HD'!$A$21:$F$55,2,FALSE)</f>
        <v>0</v>
      </c>
      <c r="F21" s="92"/>
      <c r="G21" s="91">
        <f>VLOOKUP($B21,'Tab-HD'!$A$22:$F$56,3,FALSE)</f>
        <v>0</v>
      </c>
      <c r="H21" s="148">
        <f t="shared" si="0"/>
        <v>0</v>
      </c>
      <c r="I21" s="149">
        <f>VLOOKUP($B21,'Tab-HD'!$A$22:$F$56,6,FALSE)</f>
        <v>0</v>
      </c>
      <c r="J21" s="92"/>
      <c r="K21" s="150">
        <f t="shared" si="1"/>
        <v>0</v>
      </c>
      <c r="L21" s="151"/>
      <c r="M21" s="89"/>
    </row>
    <row r="22" spans="2:13" ht="15" x14ac:dyDescent="0.25">
      <c r="B22" s="195"/>
      <c r="C22" s="196"/>
      <c r="D22" s="196"/>
      <c r="E22" s="91">
        <f>VLOOKUP($B22,'Tab-HD'!$A$21:$F$55,2,FALSE)</f>
        <v>0</v>
      </c>
      <c r="F22" s="92"/>
      <c r="G22" s="91">
        <f>VLOOKUP($B22,'Tab-HD'!$A$22:$F$56,3,FALSE)</f>
        <v>0</v>
      </c>
      <c r="H22" s="148">
        <f t="shared" si="0"/>
        <v>0</v>
      </c>
      <c r="I22" s="149">
        <f>VLOOKUP($B22,'Tab-HD'!$A$22:$F$56,6,FALSE)</f>
        <v>0</v>
      </c>
      <c r="J22" s="92"/>
      <c r="K22" s="150">
        <f t="shared" si="1"/>
        <v>0</v>
      </c>
      <c r="L22" s="151"/>
      <c r="M22" s="89"/>
    </row>
    <row r="23" spans="2:13" ht="15" x14ac:dyDescent="0.25">
      <c r="B23" s="195"/>
      <c r="C23" s="196"/>
      <c r="D23" s="196"/>
      <c r="E23" s="91">
        <f>VLOOKUP($B23,'Tab-HD'!$A$21:$F$55,2,FALSE)</f>
        <v>0</v>
      </c>
      <c r="F23" s="92"/>
      <c r="G23" s="91">
        <f>VLOOKUP($B23,'Tab-HD'!$A$22:$F$56,3,FALSE)</f>
        <v>0</v>
      </c>
      <c r="H23" s="149">
        <f t="shared" si="0"/>
        <v>0</v>
      </c>
      <c r="I23" s="149">
        <f>VLOOKUP($B23,'Tab-HD'!$A$22:$F$56,6,FALSE)</f>
        <v>0</v>
      </c>
      <c r="J23" s="92"/>
      <c r="K23" s="150">
        <f t="shared" si="1"/>
        <v>0</v>
      </c>
      <c r="L23" s="151"/>
      <c r="M23" s="89"/>
    </row>
    <row r="24" spans="2:13" ht="15" x14ac:dyDescent="0.25">
      <c r="B24" s="195"/>
      <c r="C24" s="196"/>
      <c r="D24" s="196"/>
      <c r="E24" s="91">
        <f>VLOOKUP($B24,'Tab-HD'!$A$21:$F$55,2,FALSE)</f>
        <v>0</v>
      </c>
      <c r="F24" s="92"/>
      <c r="G24" s="91">
        <f>VLOOKUP($B24,'Tab-HD'!$A$22:$F$56,3,FALSE)</f>
        <v>0</v>
      </c>
      <c r="H24" s="149">
        <f t="shared" si="0"/>
        <v>0</v>
      </c>
      <c r="I24" s="149">
        <f>VLOOKUP($B24,'Tab-HD'!$A$22:$F$56,6,FALSE)</f>
        <v>0</v>
      </c>
      <c r="J24" s="92"/>
      <c r="K24" s="150">
        <f t="shared" si="1"/>
        <v>0</v>
      </c>
      <c r="L24" s="151"/>
      <c r="M24" s="89"/>
    </row>
    <row r="25" spans="2:13" ht="15" x14ac:dyDescent="0.25">
      <c r="B25" s="212"/>
      <c r="C25" s="213"/>
      <c r="D25" s="213"/>
      <c r="E25" s="152">
        <f>VLOOKUP($B25,'Tab-HD'!$A$21:$F$55,2,FALSE)</f>
        <v>0</v>
      </c>
      <c r="F25" s="93"/>
      <c r="G25" s="152">
        <f>VLOOKUP($B25,'Tab-HD'!$A$22:$F$56,3,FALSE)</f>
        <v>0</v>
      </c>
      <c r="H25" s="149">
        <f t="shared" si="0"/>
        <v>0</v>
      </c>
      <c r="I25" s="149">
        <f>VLOOKUP($B25,'Tab-HD'!$A$22:$F$56,6,FALSE)</f>
        <v>0</v>
      </c>
      <c r="J25" s="92"/>
      <c r="K25" s="150">
        <f t="shared" si="1"/>
        <v>0</v>
      </c>
      <c r="L25" s="151"/>
      <c r="M25" s="89"/>
    </row>
    <row r="26" spans="2:13" ht="15" x14ac:dyDescent="0.25">
      <c r="B26" s="195"/>
      <c r="C26" s="196"/>
      <c r="D26" s="196"/>
      <c r="E26" s="91">
        <f>VLOOKUP($B26,'Tab-HD'!$A$21:$F$55,2,FALSE)</f>
        <v>0</v>
      </c>
      <c r="F26" s="92"/>
      <c r="G26" s="91">
        <f>VLOOKUP($B26,'Tab-HD'!$A$22:$F$56,3,FALSE)</f>
        <v>0</v>
      </c>
      <c r="H26" s="149">
        <f t="shared" si="0"/>
        <v>0</v>
      </c>
      <c r="I26" s="149">
        <f>VLOOKUP($B26,'Tab-HD'!$A$22:$F$56,6,FALSE)</f>
        <v>0</v>
      </c>
      <c r="J26" s="92"/>
      <c r="K26" s="150">
        <f t="shared" si="1"/>
        <v>0</v>
      </c>
      <c r="L26" s="151"/>
      <c r="M26" s="89"/>
    </row>
    <row r="27" spans="2:13" ht="15" x14ac:dyDescent="0.25">
      <c r="B27" s="195"/>
      <c r="C27" s="196"/>
      <c r="D27" s="196"/>
      <c r="E27" s="91">
        <f>VLOOKUP($B27,'Tab-HD'!$A$21:$F$55,2,FALSE)</f>
        <v>0</v>
      </c>
      <c r="F27" s="92"/>
      <c r="G27" s="91">
        <f>VLOOKUP($B27,'Tab-HD'!$A$22:$F$56,3,FALSE)</f>
        <v>0</v>
      </c>
      <c r="H27" s="149">
        <f t="shared" si="0"/>
        <v>0</v>
      </c>
      <c r="I27" s="149">
        <f>VLOOKUP($B27,'Tab-HD'!$A$22:$F$56,6,FALSE)</f>
        <v>0</v>
      </c>
      <c r="J27" s="92"/>
      <c r="K27" s="150">
        <f t="shared" si="1"/>
        <v>0</v>
      </c>
      <c r="L27" s="151"/>
      <c r="M27" s="89"/>
    </row>
    <row r="28" spans="2:13" ht="15" x14ac:dyDescent="0.25">
      <c r="B28" s="204"/>
      <c r="C28" s="205"/>
      <c r="D28" s="206"/>
      <c r="E28" s="92"/>
      <c r="F28" s="92"/>
      <c r="G28" s="92"/>
      <c r="H28" s="149">
        <f t="shared" si="0"/>
        <v>0</v>
      </c>
      <c r="I28" s="94"/>
      <c r="J28" s="92"/>
      <c r="K28" s="150">
        <f t="shared" si="1"/>
        <v>0</v>
      </c>
      <c r="L28" s="151"/>
      <c r="M28" s="89"/>
    </row>
    <row r="29" spans="2:13" ht="15" x14ac:dyDescent="0.25">
      <c r="B29" s="204"/>
      <c r="C29" s="205"/>
      <c r="D29" s="206"/>
      <c r="E29" s="92"/>
      <c r="F29" s="92"/>
      <c r="G29" s="92"/>
      <c r="H29" s="149">
        <f t="shared" si="0"/>
        <v>0</v>
      </c>
      <c r="I29" s="94"/>
      <c r="J29" s="92"/>
      <c r="K29" s="150">
        <f t="shared" si="1"/>
        <v>0</v>
      </c>
      <c r="L29" s="151"/>
      <c r="M29" s="89"/>
    </row>
    <row r="30" spans="2:13" ht="15" x14ac:dyDescent="0.25">
      <c r="B30" s="204"/>
      <c r="C30" s="205"/>
      <c r="D30" s="206"/>
      <c r="E30" s="92"/>
      <c r="F30" s="92"/>
      <c r="G30" s="92"/>
      <c r="H30" s="149">
        <f t="shared" si="0"/>
        <v>0</v>
      </c>
      <c r="I30" s="94"/>
      <c r="J30" s="92"/>
      <c r="K30" s="150">
        <f t="shared" si="1"/>
        <v>0</v>
      </c>
      <c r="L30" s="151"/>
      <c r="M30" s="89"/>
    </row>
    <row r="31" spans="2:13" ht="15" x14ac:dyDescent="0.25">
      <c r="B31" s="153" t="s">
        <v>7</v>
      </c>
      <c r="C31" s="154"/>
      <c r="D31" s="155"/>
      <c r="E31" s="154">
        <f>SUM(E14:E30)</f>
        <v>0</v>
      </c>
      <c r="F31" s="155"/>
      <c r="G31" s="156"/>
      <c r="H31" s="157">
        <f>SUM(H14:H30)</f>
        <v>0</v>
      </c>
      <c r="I31" s="154"/>
      <c r="J31" s="154"/>
      <c r="K31" s="158">
        <f>SUM(K14:K30)</f>
        <v>0</v>
      </c>
      <c r="L31" s="159"/>
      <c r="M31" s="89"/>
    </row>
    <row r="32" spans="2:13" ht="15" x14ac:dyDescent="0.25">
      <c r="B32" s="118" t="s">
        <v>40</v>
      </c>
      <c r="C32" s="124"/>
      <c r="D32" s="124"/>
      <c r="E32" s="95">
        <v>0.05</v>
      </c>
      <c r="F32" s="118"/>
      <c r="G32" s="160"/>
      <c r="H32" s="161"/>
      <c r="I32" s="160"/>
      <c r="J32" s="160"/>
      <c r="K32" s="158">
        <f>K31*E32</f>
        <v>0</v>
      </c>
      <c r="L32" s="159"/>
      <c r="M32" s="89"/>
    </row>
    <row r="33" spans="1:18" ht="15" x14ac:dyDescent="0.25">
      <c r="B33" s="162" t="s">
        <v>530</v>
      </c>
      <c r="C33" s="160"/>
      <c r="D33" s="123"/>
      <c r="E33" s="160"/>
      <c r="F33" s="123"/>
      <c r="G33" s="160"/>
      <c r="H33" s="161"/>
      <c r="I33" s="160"/>
      <c r="J33" s="160"/>
      <c r="K33" s="158">
        <f>K31+K32</f>
        <v>0</v>
      </c>
      <c r="L33" s="159"/>
      <c r="M33" s="89"/>
    </row>
    <row r="34" spans="1:18" ht="12.75" customHeight="1" x14ac:dyDescent="0.25">
      <c r="B34" s="90"/>
      <c r="C34" s="89"/>
      <c r="D34" s="89"/>
      <c r="E34" s="163"/>
      <c r="F34" s="89"/>
      <c r="G34" s="89"/>
      <c r="M34" s="89"/>
    </row>
    <row r="35" spans="1:18" ht="15.6" customHeight="1" x14ac:dyDescent="0.25">
      <c r="B35" s="90" t="s">
        <v>538</v>
      </c>
      <c r="C35" s="89"/>
      <c r="D35" s="89"/>
      <c r="E35" s="89"/>
      <c r="F35" s="89"/>
      <c r="G35" s="89"/>
      <c r="H35" s="89"/>
      <c r="I35" s="89"/>
      <c r="J35" s="89"/>
      <c r="K35" s="89"/>
      <c r="L35" s="89"/>
      <c r="M35" s="89"/>
      <c r="N35" s="89"/>
      <c r="O35" s="89"/>
      <c r="P35" s="89"/>
      <c r="Q35" s="89"/>
      <c r="R35" s="89"/>
    </row>
    <row r="36" spans="1:18" ht="3.6" customHeight="1" x14ac:dyDescent="0.25">
      <c r="B36" s="89"/>
      <c r="C36" s="89"/>
      <c r="D36" s="89"/>
      <c r="E36" s="89"/>
      <c r="F36" s="89"/>
      <c r="G36" s="89"/>
      <c r="H36" s="89"/>
      <c r="I36" s="89"/>
      <c r="J36" s="89"/>
      <c r="K36" s="89"/>
      <c r="L36" s="89"/>
      <c r="M36" s="89"/>
      <c r="N36" s="89"/>
      <c r="O36" s="89"/>
      <c r="P36" s="89"/>
      <c r="Q36" s="89"/>
      <c r="R36" s="89"/>
    </row>
    <row r="37" spans="1:18" ht="15.75" x14ac:dyDescent="0.25">
      <c r="A37" s="131"/>
      <c r="B37" s="90" t="s">
        <v>37</v>
      </c>
      <c r="C37" s="89"/>
      <c r="D37" s="89"/>
      <c r="E37" s="89"/>
      <c r="F37" s="89"/>
      <c r="G37" s="89"/>
      <c r="H37" s="89"/>
      <c r="I37" s="89"/>
      <c r="J37" s="89"/>
      <c r="K37" s="89"/>
      <c r="L37" s="89"/>
      <c r="M37" s="89"/>
      <c r="N37" s="89"/>
      <c r="O37" s="89"/>
      <c r="P37" s="89"/>
      <c r="Q37" s="89"/>
      <c r="R37" s="89"/>
    </row>
    <row r="38" spans="1:18" ht="15" x14ac:dyDescent="0.25">
      <c r="B38" s="164"/>
      <c r="C38" s="135"/>
      <c r="D38" s="164" t="s">
        <v>523</v>
      </c>
      <c r="E38" s="164" t="s">
        <v>531</v>
      </c>
      <c r="F38" s="165"/>
      <c r="G38" s="165" t="s">
        <v>537</v>
      </c>
      <c r="H38" s="135"/>
      <c r="I38" s="165" t="s">
        <v>523</v>
      </c>
      <c r="J38" s="165" t="s">
        <v>531</v>
      </c>
      <c r="K38" s="136" t="s">
        <v>457</v>
      </c>
      <c r="L38" s="165" t="s">
        <v>31</v>
      </c>
      <c r="M38" s="166"/>
    </row>
    <row r="39" spans="1:18" ht="16.5" x14ac:dyDescent="0.25">
      <c r="B39" s="167"/>
      <c r="C39" s="168"/>
      <c r="D39" s="169" t="s">
        <v>138</v>
      </c>
      <c r="E39" s="169" t="s">
        <v>138</v>
      </c>
      <c r="F39" s="146" t="s">
        <v>517</v>
      </c>
      <c r="G39" s="167" t="s">
        <v>518</v>
      </c>
      <c r="H39" s="168"/>
      <c r="I39" s="170" t="s">
        <v>518</v>
      </c>
      <c r="J39" s="170" t="s">
        <v>518</v>
      </c>
      <c r="K39" s="171" t="s">
        <v>519</v>
      </c>
      <c r="L39" s="170" t="s">
        <v>145</v>
      </c>
      <c r="M39" s="172" t="s">
        <v>146</v>
      </c>
    </row>
    <row r="40" spans="1:18" ht="15" x14ac:dyDescent="0.25">
      <c r="B40" s="201" t="s">
        <v>344</v>
      </c>
      <c r="C40" s="202"/>
      <c r="D40" s="96"/>
      <c r="E40" s="97"/>
      <c r="F40" s="98">
        <v>1.4</v>
      </c>
      <c r="G40" s="232">
        <f>I40+J40</f>
        <v>0</v>
      </c>
      <c r="H40" s="233"/>
      <c r="I40" s="173">
        <f>D40*F40</f>
        <v>0</v>
      </c>
      <c r="J40" s="174">
        <f>E40*F40</f>
        <v>0</v>
      </c>
      <c r="K40" s="102">
        <f>700/1.4</f>
        <v>500.00000000000006</v>
      </c>
      <c r="L40" s="99">
        <v>0.35</v>
      </c>
      <c r="M40" s="173">
        <f>G40*K40*L40/100</f>
        <v>0</v>
      </c>
    </row>
    <row r="41" spans="1:18" ht="15" x14ac:dyDescent="0.25">
      <c r="B41" s="201" t="s">
        <v>431</v>
      </c>
      <c r="C41" s="202"/>
      <c r="D41" s="100"/>
      <c r="E41" s="100"/>
      <c r="F41" s="101">
        <v>1.4</v>
      </c>
      <c r="G41" s="232">
        <f t="shared" ref="G41:G45" si="2">I41+J41</f>
        <v>0</v>
      </c>
      <c r="H41" s="233"/>
      <c r="I41" s="173">
        <f>D41*F41</f>
        <v>0</v>
      </c>
      <c r="J41" s="174">
        <f>E41*F41</f>
        <v>0</v>
      </c>
      <c r="K41" s="102">
        <v>650</v>
      </c>
      <c r="L41" s="99">
        <v>0.32</v>
      </c>
      <c r="M41" s="173">
        <f t="shared" ref="M41:M45" si="3">G41*K41*L41/100</f>
        <v>0</v>
      </c>
    </row>
    <row r="42" spans="1:18" ht="15" x14ac:dyDescent="0.25">
      <c r="B42" s="201" t="s">
        <v>345</v>
      </c>
      <c r="C42" s="203"/>
      <c r="D42" s="207"/>
      <c r="E42" s="207"/>
      <c r="F42" s="208"/>
      <c r="G42" s="232">
        <f t="shared" si="2"/>
        <v>0</v>
      </c>
      <c r="H42" s="233"/>
      <c r="I42" s="97"/>
      <c r="J42" s="103"/>
      <c r="K42" s="96">
        <v>500</v>
      </c>
      <c r="L42" s="99">
        <v>0.35</v>
      </c>
      <c r="M42" s="173">
        <f t="shared" si="3"/>
        <v>0</v>
      </c>
    </row>
    <row r="43" spans="1:18" ht="15" x14ac:dyDescent="0.25">
      <c r="B43" s="201" t="s">
        <v>430</v>
      </c>
      <c r="C43" s="203"/>
      <c r="D43" s="207"/>
      <c r="E43" s="207"/>
      <c r="F43" s="208"/>
      <c r="G43" s="232">
        <f t="shared" si="2"/>
        <v>0</v>
      </c>
      <c r="H43" s="233"/>
      <c r="I43" s="97"/>
      <c r="J43" s="103"/>
      <c r="K43" s="96">
        <v>550</v>
      </c>
      <c r="L43" s="99">
        <v>0.3</v>
      </c>
      <c r="M43" s="173">
        <f t="shared" si="3"/>
        <v>0</v>
      </c>
    </row>
    <row r="44" spans="1:18" ht="15" x14ac:dyDescent="0.25">
      <c r="B44" s="201" t="s">
        <v>346</v>
      </c>
      <c r="C44" s="203"/>
      <c r="D44" s="234"/>
      <c r="E44" s="234"/>
      <c r="F44" s="235"/>
      <c r="G44" s="232">
        <f t="shared" si="2"/>
        <v>0</v>
      </c>
      <c r="H44" s="233"/>
      <c r="I44" s="97"/>
      <c r="J44" s="103"/>
      <c r="K44" s="96">
        <v>650</v>
      </c>
      <c r="L44" s="99">
        <v>0.35</v>
      </c>
      <c r="M44" s="173">
        <f t="shared" si="3"/>
        <v>0</v>
      </c>
    </row>
    <row r="45" spans="1:18" ht="15" x14ac:dyDescent="0.25">
      <c r="B45" s="201" t="s">
        <v>429</v>
      </c>
      <c r="C45" s="203"/>
      <c r="D45" s="234"/>
      <c r="E45" s="234"/>
      <c r="F45" s="235"/>
      <c r="G45" s="232">
        <f t="shared" si="2"/>
        <v>0</v>
      </c>
      <c r="H45" s="233"/>
      <c r="I45" s="97"/>
      <c r="J45" s="103"/>
      <c r="K45" s="104">
        <v>700</v>
      </c>
      <c r="L45" s="105">
        <v>0.3</v>
      </c>
      <c r="M45" s="173">
        <f t="shared" si="3"/>
        <v>0</v>
      </c>
    </row>
    <row r="46" spans="1:18" ht="15" x14ac:dyDescent="0.25">
      <c r="B46" s="199" t="s">
        <v>139</v>
      </c>
      <c r="C46" s="200"/>
      <c r="D46" s="190"/>
      <c r="E46" s="190"/>
      <c r="F46" s="190"/>
      <c r="G46" s="237">
        <f>SUM(G40:H45)</f>
        <v>0</v>
      </c>
      <c r="H46" s="236"/>
      <c r="I46" s="192">
        <f>SUM(I40:I45)</f>
        <v>0</v>
      </c>
      <c r="J46" s="174">
        <f>SUM(J40:J45)</f>
        <v>0</v>
      </c>
      <c r="K46" s="177"/>
      <c r="L46" s="177"/>
      <c r="M46" s="150">
        <f>SUM(M40:M44)</f>
        <v>0</v>
      </c>
    </row>
    <row r="47" spans="1:18" ht="15" x14ac:dyDescent="0.25">
      <c r="B47" s="238" t="s">
        <v>349</v>
      </c>
      <c r="C47" s="239"/>
      <c r="D47" s="239"/>
      <c r="E47" s="239"/>
      <c r="F47" s="239"/>
      <c r="G47" s="239"/>
      <c r="H47" s="239"/>
      <c r="I47" s="239"/>
      <c r="J47" s="239"/>
      <c r="K47" s="239"/>
      <c r="L47" s="239"/>
      <c r="M47" s="106" t="str">
        <f>IF(M46=0,"",M46/K33)</f>
        <v/>
      </c>
    </row>
    <row r="48" spans="1:18" ht="5.25" customHeight="1" x14ac:dyDescent="0.25">
      <c r="B48" s="89"/>
      <c r="C48" s="89"/>
      <c r="D48" s="151"/>
      <c r="E48" s="151"/>
      <c r="F48" s="151"/>
      <c r="G48" s="151"/>
      <c r="H48" s="151"/>
      <c r="I48" s="151"/>
      <c r="J48" s="151"/>
      <c r="K48" s="89"/>
      <c r="L48" s="89"/>
      <c r="M48" s="177"/>
    </row>
    <row r="49" spans="1:23" ht="15.75" x14ac:dyDescent="0.25">
      <c r="A49" s="131"/>
      <c r="B49" s="90" t="s">
        <v>36</v>
      </c>
      <c r="C49" s="89"/>
      <c r="D49" s="151"/>
      <c r="E49" s="151"/>
      <c r="F49" s="151"/>
      <c r="G49" s="151"/>
      <c r="H49" s="151"/>
      <c r="I49" s="151"/>
      <c r="J49" s="151"/>
      <c r="K49" s="89"/>
      <c r="L49" s="89"/>
      <c r="M49" s="178"/>
    </row>
    <row r="50" spans="1:23" ht="15" x14ac:dyDescent="0.25">
      <c r="B50" s="164"/>
      <c r="C50" s="135"/>
      <c r="D50" s="164" t="s">
        <v>523</v>
      </c>
      <c r="E50" s="164" t="s">
        <v>531</v>
      </c>
      <c r="F50" s="165"/>
      <c r="G50" s="165" t="s">
        <v>537</v>
      </c>
      <c r="H50" s="135"/>
      <c r="I50" s="165" t="s">
        <v>523</v>
      </c>
      <c r="J50" s="165" t="s">
        <v>531</v>
      </c>
      <c r="K50" s="136" t="s">
        <v>457</v>
      </c>
      <c r="L50" s="165" t="s">
        <v>458</v>
      </c>
      <c r="M50" s="179"/>
    </row>
    <row r="51" spans="1:23" ht="16.5" x14ac:dyDescent="0.25">
      <c r="B51" s="167"/>
      <c r="C51" s="168"/>
      <c r="D51" s="169" t="s">
        <v>138</v>
      </c>
      <c r="E51" s="169" t="s">
        <v>138</v>
      </c>
      <c r="F51" s="146" t="s">
        <v>517</v>
      </c>
      <c r="G51" s="167" t="s">
        <v>518</v>
      </c>
      <c r="H51" s="168"/>
      <c r="I51" s="170" t="s">
        <v>518</v>
      </c>
      <c r="J51" s="170" t="s">
        <v>518</v>
      </c>
      <c r="K51" s="180" t="s">
        <v>520</v>
      </c>
      <c r="L51" s="170" t="s">
        <v>145</v>
      </c>
      <c r="M51" s="172" t="s">
        <v>146</v>
      </c>
    </row>
    <row r="52" spans="1:23" ht="15" x14ac:dyDescent="0.25">
      <c r="B52" s="214"/>
      <c r="C52" s="215"/>
      <c r="D52" s="96"/>
      <c r="E52" s="97"/>
      <c r="F52" s="181">
        <f>IF(B52 ="",0,VLOOKUP($B52,'Tab-Bezüge'!A129:I135,3,FALSE))</f>
        <v>0</v>
      </c>
      <c r="G52" s="232">
        <f>I52+J52</f>
        <v>0</v>
      </c>
      <c r="H52" s="236"/>
      <c r="I52" s="182">
        <f>D52*F52</f>
        <v>0</v>
      </c>
      <c r="J52" s="174">
        <f>E52*F52</f>
        <v>0</v>
      </c>
      <c r="K52" s="173">
        <f>IF(B52 ="",0,VLOOKUP($B52,'Tab-Bezüge'!A129:I135,8,FALSE))</f>
        <v>0</v>
      </c>
      <c r="L52" s="107">
        <v>0.88</v>
      </c>
      <c r="M52" s="173">
        <f>G52*K52*L52/100</f>
        <v>0</v>
      </c>
      <c r="N52" s="89"/>
      <c r="O52" s="89"/>
      <c r="P52" s="89"/>
    </row>
    <row r="53" spans="1:23" ht="15" x14ac:dyDescent="0.25">
      <c r="B53" s="214"/>
      <c r="C53" s="215"/>
      <c r="D53" s="96"/>
      <c r="E53" s="97"/>
      <c r="F53" s="181">
        <f>IF(B53="",0,VLOOKUP($B53,'Tab-Bezüge'!A129:I135,3,FALSE))</f>
        <v>0</v>
      </c>
      <c r="G53" s="232">
        <f t="shared" ref="G53" si="4">I53+J53</f>
        <v>0</v>
      </c>
      <c r="H53" s="236"/>
      <c r="I53" s="182">
        <f>D53*F53</f>
        <v>0</v>
      </c>
      <c r="J53" s="174">
        <f>E53*F53</f>
        <v>0</v>
      </c>
      <c r="K53" s="173">
        <f>IF(B53 ="",0,VLOOKUP($B53,'Tab-Bezüge'!A129:I135,8,FALSE))</f>
        <v>0</v>
      </c>
      <c r="L53" s="107">
        <v>0.88</v>
      </c>
      <c r="M53" s="173">
        <f>G53*K53*L53/100</f>
        <v>0</v>
      </c>
      <c r="N53" s="89"/>
      <c r="O53" s="89"/>
      <c r="P53" s="89"/>
    </row>
    <row r="54" spans="1:23" ht="15" x14ac:dyDescent="0.25">
      <c r="B54" s="216" t="s">
        <v>32</v>
      </c>
      <c r="C54" s="217"/>
      <c r="D54" s="183"/>
      <c r="E54" s="184"/>
      <c r="F54" s="185"/>
      <c r="G54" s="232">
        <f>I54+J54</f>
        <v>0</v>
      </c>
      <c r="H54" s="236"/>
      <c r="I54" s="108"/>
      <c r="J54" s="193"/>
      <c r="K54" s="108">
        <v>80</v>
      </c>
      <c r="L54" s="107">
        <v>0.88</v>
      </c>
      <c r="M54" s="173">
        <f>G54*K54*L54/100</f>
        <v>0</v>
      </c>
      <c r="N54" s="89"/>
      <c r="O54" s="89"/>
      <c r="P54" s="89"/>
    </row>
    <row r="55" spans="1:23" ht="15" x14ac:dyDescent="0.25">
      <c r="B55" s="201" t="s">
        <v>33</v>
      </c>
      <c r="C55" s="203"/>
      <c r="D55" s="186"/>
      <c r="E55" s="186"/>
      <c r="F55" s="183"/>
      <c r="G55" s="232">
        <f>I55+J55</f>
        <v>0</v>
      </c>
      <c r="H55" s="236"/>
      <c r="I55" s="108"/>
      <c r="J55" s="109"/>
      <c r="K55" s="97">
        <v>70</v>
      </c>
      <c r="L55" s="107">
        <v>0.88</v>
      </c>
      <c r="M55" s="173">
        <f>G55*K55*L55/100</f>
        <v>0</v>
      </c>
      <c r="N55" s="89"/>
      <c r="O55" s="89"/>
      <c r="P55" s="89"/>
    </row>
    <row r="56" spans="1:23" ht="15" x14ac:dyDescent="0.25">
      <c r="B56" s="201" t="s">
        <v>140</v>
      </c>
      <c r="C56" s="203"/>
      <c r="D56" s="123"/>
      <c r="E56" s="155"/>
      <c r="F56" s="155"/>
      <c r="G56" s="232">
        <f>SUM(G52:H55)</f>
        <v>0</v>
      </c>
      <c r="H56" s="233"/>
      <c r="I56" s="187">
        <f>SUM(I52:I55)</f>
        <v>0</v>
      </c>
      <c r="J56" s="158">
        <f>SUM(J52:J55)</f>
        <v>0</v>
      </c>
      <c r="K56" s="176"/>
      <c r="L56" s="188"/>
      <c r="M56" s="175">
        <f>SUM(M52:M55)</f>
        <v>0</v>
      </c>
      <c r="N56" s="89"/>
      <c r="O56" s="89"/>
      <c r="P56" s="89"/>
      <c r="Q56" s="89"/>
      <c r="R56" s="89"/>
      <c r="S56" s="89"/>
      <c r="T56" s="89"/>
    </row>
    <row r="57" spans="1:23" ht="15" x14ac:dyDescent="0.25">
      <c r="B57" s="89"/>
      <c r="C57" s="89"/>
      <c r="D57" s="89"/>
      <c r="E57" s="89"/>
      <c r="F57" s="89"/>
      <c r="G57" s="89"/>
      <c r="H57" s="89"/>
      <c r="I57" s="89"/>
      <c r="J57" s="89"/>
      <c r="K57" s="89"/>
      <c r="L57" s="89"/>
      <c r="M57" s="89"/>
      <c r="N57" s="89"/>
      <c r="O57" s="89"/>
      <c r="P57" s="89"/>
      <c r="Q57" s="89"/>
      <c r="R57" s="89"/>
      <c r="S57" s="89"/>
      <c r="T57" s="89"/>
      <c r="U57" s="89"/>
      <c r="V57" s="89"/>
      <c r="W57" s="89"/>
    </row>
    <row r="58" spans="1:23" ht="15" x14ac:dyDescent="0.25">
      <c r="B58" s="90" t="s">
        <v>528</v>
      </c>
      <c r="C58" s="89"/>
      <c r="D58" s="89"/>
      <c r="E58" s="89"/>
      <c r="F58" s="89"/>
      <c r="G58" s="89"/>
      <c r="H58" s="89"/>
      <c r="I58" s="89"/>
      <c r="J58" s="89"/>
      <c r="K58" s="89"/>
      <c r="L58" s="89"/>
      <c r="M58" s="89"/>
      <c r="N58" s="89"/>
      <c r="O58" s="89"/>
      <c r="P58" s="89"/>
      <c r="Q58" s="89"/>
      <c r="R58" s="89"/>
      <c r="S58" s="89"/>
      <c r="T58" s="89"/>
      <c r="U58" s="89"/>
      <c r="V58" s="89"/>
      <c r="W58" s="89"/>
    </row>
    <row r="59" spans="1:23" ht="15" x14ac:dyDescent="0.25">
      <c r="B59" s="209"/>
      <c r="C59" s="210"/>
      <c r="D59" s="210"/>
      <c r="E59" s="210"/>
      <c r="F59" s="210"/>
      <c r="G59" s="210"/>
      <c r="H59" s="210"/>
      <c r="I59" s="211"/>
      <c r="J59" s="165" t="s">
        <v>525</v>
      </c>
      <c r="K59" s="89"/>
      <c r="L59" s="89"/>
      <c r="M59" s="89"/>
      <c r="N59" s="89"/>
      <c r="O59" s="89"/>
      <c r="P59" s="89"/>
      <c r="Q59" s="89"/>
      <c r="R59" s="89"/>
      <c r="S59" s="89"/>
      <c r="T59" s="89"/>
      <c r="U59" s="89"/>
      <c r="V59" s="89"/>
      <c r="W59" s="89"/>
    </row>
    <row r="60" spans="1:23" ht="15" x14ac:dyDescent="0.25">
      <c r="B60" s="221"/>
      <c r="C60" s="222"/>
      <c r="D60" s="222"/>
      <c r="E60" s="222">
        <f>T60</f>
        <v>0</v>
      </c>
      <c r="F60" s="222"/>
      <c r="G60" s="222"/>
      <c r="H60" s="222"/>
      <c r="I60" s="223"/>
      <c r="J60" s="146" t="s">
        <v>146</v>
      </c>
      <c r="K60" s="159"/>
      <c r="L60" s="89"/>
      <c r="M60" s="89"/>
      <c r="N60" s="89"/>
      <c r="O60" s="89"/>
      <c r="P60" s="89"/>
      <c r="Q60" s="89"/>
      <c r="R60" s="89"/>
      <c r="S60" s="89"/>
      <c r="T60" s="89"/>
      <c r="U60" s="89"/>
      <c r="V60" s="89"/>
      <c r="W60" s="89"/>
    </row>
    <row r="61" spans="1:23" ht="15" x14ac:dyDescent="0.25">
      <c r="B61" s="224" t="s">
        <v>137</v>
      </c>
      <c r="C61" s="225"/>
      <c r="D61" s="225"/>
      <c r="E61" s="225"/>
      <c r="F61" s="225"/>
      <c r="G61" s="225"/>
      <c r="H61" s="225"/>
      <c r="I61" s="226"/>
      <c r="J61" s="189">
        <f>K33</f>
        <v>0</v>
      </c>
    </row>
    <row r="62" spans="1:23" ht="15" x14ac:dyDescent="0.25">
      <c r="B62" s="224" t="s">
        <v>533</v>
      </c>
      <c r="C62" s="225"/>
      <c r="D62" s="225"/>
      <c r="E62" s="225"/>
      <c r="F62" s="225"/>
      <c r="G62" s="225"/>
      <c r="H62" s="225"/>
      <c r="I62" s="226"/>
      <c r="J62" s="150">
        <f>M46</f>
        <v>0</v>
      </c>
    </row>
    <row r="63" spans="1:23" ht="15.75" thickBot="1" x14ac:dyDescent="0.3">
      <c r="B63" s="227" t="s">
        <v>532</v>
      </c>
      <c r="C63" s="228"/>
      <c r="D63" s="228"/>
      <c r="E63" s="228"/>
      <c r="F63" s="228"/>
      <c r="G63" s="228"/>
      <c r="H63" s="228"/>
      <c r="I63" s="229"/>
      <c r="J63" s="173">
        <f>M56</f>
        <v>0</v>
      </c>
    </row>
    <row r="64" spans="1:23" ht="15.75" thickBot="1" x14ac:dyDescent="0.3">
      <c r="B64" s="218" t="s">
        <v>535</v>
      </c>
      <c r="C64" s="219"/>
      <c r="D64" s="219"/>
      <c r="E64" s="219"/>
      <c r="F64" s="219"/>
      <c r="G64" s="219"/>
      <c r="H64" s="219"/>
      <c r="I64" s="220"/>
      <c r="J64" s="191">
        <f>J61-J62-J63</f>
        <v>0</v>
      </c>
    </row>
  </sheetData>
  <sheetProtection algorithmName="SHA-512" hashValue="sUrV/Y5kFECWpmAAjYWqrF8nbvbe4/tTXgQono18YUaVzsKtPM4BhKwAQILTDx7dqPuUCKOSP8eZGQqj5YoQow==" saltValue="4RiSiS0Ua2SYAMhVYHmMJA==" spinCount="100000" sheet="1" formatCells="0"/>
  <dataConsolidate/>
  <customSheetViews>
    <customSheetView guid="{DE545A82-34CB-4C58-841D-D0AF30A53BE0}">
      <selection activeCell="I29" sqref="I29"/>
      <colBreaks count="1" manualBreakCount="1">
        <brk id="12" max="1048575" man="1"/>
      </colBreaks>
      <pageMargins left="0.39370078740157483" right="0.39370078740157483" top="0.39370078740157483" bottom="0.19685039370078741" header="0.31496062992125984" footer="0.31496062992125984"/>
      <pageSetup paperSize="9" scale="91" orientation="portrait" r:id="rId1"/>
    </customSheetView>
  </customSheetViews>
  <mergeCells count="54">
    <mergeCell ref="G55:H55"/>
    <mergeCell ref="G56:H56"/>
    <mergeCell ref="G46:H46"/>
    <mergeCell ref="B47:L47"/>
    <mergeCell ref="G52:H52"/>
    <mergeCell ref="G53:H53"/>
    <mergeCell ref="G54:H54"/>
    <mergeCell ref="G43:H43"/>
    <mergeCell ref="D44:F44"/>
    <mergeCell ref="G44:H44"/>
    <mergeCell ref="D45:F45"/>
    <mergeCell ref="G45:H45"/>
    <mergeCell ref="B16:D16"/>
    <mergeCell ref="E5:G5"/>
    <mergeCell ref="G40:H40"/>
    <mergeCell ref="G41:H41"/>
    <mergeCell ref="G42:H42"/>
    <mergeCell ref="B64:I64"/>
    <mergeCell ref="B60:I60"/>
    <mergeCell ref="B61:I61"/>
    <mergeCell ref="B62:I62"/>
    <mergeCell ref="B63:I63"/>
    <mergeCell ref="B59:I59"/>
    <mergeCell ref="B19:D19"/>
    <mergeCell ref="B20:D20"/>
    <mergeCell ref="B25:D25"/>
    <mergeCell ref="B26:D26"/>
    <mergeCell ref="B27:D27"/>
    <mergeCell ref="B21:D21"/>
    <mergeCell ref="B22:D22"/>
    <mergeCell ref="B23:D23"/>
    <mergeCell ref="B24:D24"/>
    <mergeCell ref="B56:C56"/>
    <mergeCell ref="B52:C52"/>
    <mergeCell ref="B53:C53"/>
    <mergeCell ref="B54:C54"/>
    <mergeCell ref="B55:C55"/>
    <mergeCell ref="D43:F43"/>
    <mergeCell ref="H2:K2"/>
    <mergeCell ref="B14:D14"/>
    <mergeCell ref="B15:D15"/>
    <mergeCell ref="B17:D17"/>
    <mergeCell ref="B46:C46"/>
    <mergeCell ref="B41:C41"/>
    <mergeCell ref="B42:C42"/>
    <mergeCell ref="B43:C43"/>
    <mergeCell ref="B44:C44"/>
    <mergeCell ref="B45:C45"/>
    <mergeCell ref="B18:D18"/>
    <mergeCell ref="B28:D28"/>
    <mergeCell ref="B29:D29"/>
    <mergeCell ref="B30:D30"/>
    <mergeCell ref="B40:C40"/>
    <mergeCell ref="D42:F42"/>
  </mergeCells>
  <dataValidations count="2">
    <dataValidation type="list" allowBlank="1" showInputMessage="1" showErrorMessage="1" sqref="B52:B53" xr:uid="{0CE284B4-7068-42B7-B673-9480DD789F8F}">
      <formula1>"Kleinballen, Rundballen klein, Rundballen mittel, Rundballen gross, Quaderballen klein, Quaderballen gross"</formula1>
    </dataValidation>
    <dataValidation type="list" allowBlank="1" showInputMessage="1" showErrorMessage="1" sqref="E8" xr:uid="{0E872A51-76A6-4474-A944-A8032DCF49E7}">
      <formula1>"&lt;600 kg, 600-700 kg, &gt;700 kg,-"</formula1>
    </dataValidation>
  </dataValidations>
  <pageMargins left="0.39370078740157483" right="0.39370078740157483" top="0.39370078740157483" bottom="0.19685039370078741" header="0.31496062992125984" footer="0.31496062992125984"/>
  <pageSetup paperSize="9" scale="78" fitToHeight="0" orientation="portrait" r:id="rId2"/>
  <headerFooter scaleWithDoc="0">
    <oddHeader>&amp;R&amp;G</oddHeader>
    <oddFooter>&amp;R&amp;"Aptos Narrow,Standard"Seite &amp;P von &amp;N</oddFooter>
  </headerFooter>
  <colBreaks count="1" manualBreakCount="1">
    <brk id="13" max="1048575" man="1"/>
  </colBreaks>
  <legacyDrawing r:id="rId3"/>
  <legacyDrawingHF r:id="rId4"/>
  <extLst>
    <ext xmlns:x14="http://schemas.microsoft.com/office/spreadsheetml/2009/9/main" uri="{78C0D931-6437-407d-A8EE-F0AAD7539E65}">
      <x14:conditionalFormattings>
        <x14:conditionalFormatting xmlns:xm="http://schemas.microsoft.com/office/excel/2006/main">
          <x14:cfRule type="iconSet" priority="1" id="{FD6F6C65-AA4C-4BD5-841D-1532539F638B}">
            <x14:iconSet iconSet="3Symbols2" custom="1">
              <x14:cfvo type="percent">
                <xm:f>0</xm:f>
              </x14:cfvo>
              <x14:cfvo type="num">
                <xm:f>0</xm:f>
              </x14:cfvo>
              <x14:cfvo type="num">
                <xm:f>0</xm:f>
              </x14:cfvo>
              <x14:cfIcon iconSet="3Symbols2" iconId="2"/>
              <x14:cfIcon iconSet="NoIcons" iconId="0"/>
              <x14:cfIcon iconSet="3Symbols2" iconId="0"/>
            </x14:iconSet>
          </x14:cfRule>
          <xm:sqref>J64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'Tab-HD'!$A$21:$A$55</xm:f>
          </x14:formula1>
          <xm:sqref>B14:D27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tabColor rgb="FFFFFF00"/>
  </sheetPr>
  <dimension ref="A1:D26"/>
  <sheetViews>
    <sheetView topLeftCell="B1" zoomScaleNormal="100" workbookViewId="0">
      <selection activeCell="G11" sqref="G11"/>
    </sheetView>
  </sheetViews>
  <sheetFormatPr baseColWidth="10" defaultColWidth="11.5703125" defaultRowHeight="15" x14ac:dyDescent="0.25"/>
  <cols>
    <col min="1" max="1" width="0.5703125" style="87" customWidth="1"/>
    <col min="2" max="2" width="24.5703125" style="87" customWidth="1"/>
    <col min="3" max="3" width="55.140625" style="87" customWidth="1"/>
    <col min="4" max="16384" width="11.5703125" style="87"/>
  </cols>
  <sheetData>
    <row r="1" spans="1:4" x14ac:dyDescent="0.25">
      <c r="A1" s="86" t="s">
        <v>355</v>
      </c>
      <c r="B1" s="90"/>
      <c r="C1" s="89"/>
      <c r="D1" s="89"/>
    </row>
    <row r="2" spans="1:4" x14ac:dyDescent="0.25">
      <c r="B2" s="90"/>
      <c r="C2" s="89"/>
      <c r="D2" s="89"/>
    </row>
    <row r="3" spans="1:4" x14ac:dyDescent="0.25">
      <c r="B3" s="111" t="s">
        <v>454</v>
      </c>
      <c r="C3" s="111" t="s">
        <v>455</v>
      </c>
      <c r="D3" s="89"/>
    </row>
    <row r="4" spans="1:4" x14ac:dyDescent="0.25">
      <c r="B4" s="91" t="s">
        <v>440</v>
      </c>
      <c r="C4" s="91" t="s">
        <v>443</v>
      </c>
      <c r="D4" s="89"/>
    </row>
    <row r="5" spans="1:4" x14ac:dyDescent="0.25">
      <c r="B5" s="91" t="s">
        <v>441</v>
      </c>
      <c r="C5" s="91" t="s">
        <v>444</v>
      </c>
      <c r="D5" s="89"/>
    </row>
    <row r="6" spans="1:4" x14ac:dyDescent="0.25">
      <c r="B6" s="91" t="s">
        <v>442</v>
      </c>
      <c r="C6" s="91" t="s">
        <v>445</v>
      </c>
      <c r="D6" s="89"/>
    </row>
    <row r="7" spans="1:4" x14ac:dyDescent="0.25">
      <c r="B7" s="91" t="s">
        <v>448</v>
      </c>
      <c r="C7" s="91" t="s">
        <v>449</v>
      </c>
      <c r="D7" s="89"/>
    </row>
    <row r="8" spans="1:4" x14ac:dyDescent="0.25">
      <c r="B8" s="91" t="s">
        <v>405</v>
      </c>
      <c r="C8" s="91" t="s">
        <v>536</v>
      </c>
      <c r="D8" s="89"/>
    </row>
    <row r="9" spans="1:4" x14ac:dyDescent="0.25">
      <c r="B9" s="91" t="s">
        <v>401</v>
      </c>
      <c r="C9" s="91" t="s">
        <v>402</v>
      </c>
      <c r="D9" s="89"/>
    </row>
    <row r="10" spans="1:4" x14ac:dyDescent="0.25">
      <c r="B10" s="91" t="s">
        <v>1</v>
      </c>
      <c r="C10" s="91" t="s">
        <v>400</v>
      </c>
      <c r="D10" s="89"/>
    </row>
    <row r="11" spans="1:4" x14ac:dyDescent="0.25">
      <c r="B11" s="91" t="s">
        <v>406</v>
      </c>
      <c r="C11" s="91" t="s">
        <v>407</v>
      </c>
      <c r="D11" s="89"/>
    </row>
    <row r="12" spans="1:4" ht="16.5" x14ac:dyDescent="0.25">
      <c r="B12" s="91" t="s">
        <v>516</v>
      </c>
      <c r="C12" s="91" t="s">
        <v>446</v>
      </c>
      <c r="D12" s="89"/>
    </row>
    <row r="13" spans="1:4" ht="16.5" x14ac:dyDescent="0.25">
      <c r="B13" s="91" t="s">
        <v>521</v>
      </c>
      <c r="C13" s="91" t="s">
        <v>447</v>
      </c>
      <c r="D13" s="89"/>
    </row>
    <row r="14" spans="1:4" x14ac:dyDescent="0.25">
      <c r="B14" s="91" t="s">
        <v>421</v>
      </c>
      <c r="C14" s="91" t="s">
        <v>422</v>
      </c>
      <c r="D14" s="89"/>
    </row>
    <row r="15" spans="1:4" x14ac:dyDescent="0.25">
      <c r="B15" s="91" t="s">
        <v>408</v>
      </c>
      <c r="C15" s="91" t="s">
        <v>409</v>
      </c>
      <c r="D15" s="89"/>
    </row>
    <row r="16" spans="1:4" x14ac:dyDescent="0.25">
      <c r="B16" s="91" t="s">
        <v>450</v>
      </c>
      <c r="C16" s="91" t="s">
        <v>29</v>
      </c>
      <c r="D16" s="89"/>
    </row>
    <row r="17" spans="2:4" x14ac:dyDescent="0.25">
      <c r="B17" s="91" t="s">
        <v>403</v>
      </c>
      <c r="C17" s="91" t="s">
        <v>404</v>
      </c>
      <c r="D17" s="89"/>
    </row>
    <row r="18" spans="2:4" x14ac:dyDescent="0.25">
      <c r="B18" s="112"/>
      <c r="C18" s="89"/>
      <c r="D18" s="89"/>
    </row>
    <row r="19" spans="2:4" x14ac:dyDescent="0.25">
      <c r="B19" s="112"/>
      <c r="C19" s="89"/>
      <c r="D19" s="89"/>
    </row>
    <row r="20" spans="2:4" x14ac:dyDescent="0.25">
      <c r="B20" s="88"/>
    </row>
    <row r="21" spans="2:4" x14ac:dyDescent="0.25">
      <c r="B21" s="88"/>
    </row>
    <row r="22" spans="2:4" x14ac:dyDescent="0.25">
      <c r="B22" s="88"/>
    </row>
    <row r="23" spans="2:4" x14ac:dyDescent="0.25">
      <c r="B23" s="88"/>
    </row>
    <row r="24" spans="2:4" x14ac:dyDescent="0.25">
      <c r="B24" s="88"/>
    </row>
    <row r="25" spans="2:4" x14ac:dyDescent="0.25">
      <c r="B25" s="88"/>
    </row>
    <row r="26" spans="2:4" x14ac:dyDescent="0.25">
      <c r="B26" s="88"/>
    </row>
  </sheetData>
  <sheetProtection algorithmName="SHA-512" hashValue="lJW23gL9bWTM22MAAuTACmGRtFIyNhtLUCrFpvORASugWgkDgi8A6dx8nGQv9uOxwgA9hoJLSesvJXUjpsyRTw==" saltValue="hQIgh9U1fAxwN5QXGOMpBA==" spinCount="100000" sheet="1" objects="1" scenarios="1" formatCells="0"/>
  <sortState xmlns:xlrd2="http://schemas.microsoft.com/office/spreadsheetml/2017/richdata2" ref="B3:C13">
    <sortCondition ref="B3:B13"/>
  </sortState>
  <pageMargins left="0.70866141732283472" right="0.70866141732283472" top="0.78740157480314965" bottom="0.78740157480314965" header="0.31496062992125984" footer="0.31496062992125984"/>
  <pageSetup paperSize="9" orientation="portrait" r:id="rId1"/>
  <headerFooter>
    <oddFooter>Seite &amp;P von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7"/>
  <dimension ref="A1:O254"/>
  <sheetViews>
    <sheetView topLeftCell="A81" zoomScale="115" zoomScaleNormal="115" workbookViewId="0">
      <selection activeCell="E22" sqref="E22"/>
    </sheetView>
  </sheetViews>
  <sheetFormatPr baseColWidth="10" defaultRowHeight="12.75" x14ac:dyDescent="0.2"/>
  <cols>
    <col min="1" max="1" width="34.85546875" customWidth="1"/>
    <col min="3" max="3" width="9.5703125" customWidth="1"/>
    <col min="5" max="5" width="13" customWidth="1"/>
    <col min="7" max="7" width="18.140625" customWidth="1"/>
    <col min="14" max="14" width="22.5703125" customWidth="1"/>
    <col min="17" max="17" width="28.5703125" customWidth="1"/>
  </cols>
  <sheetData>
    <row r="1" spans="1:10" x14ac:dyDescent="0.2">
      <c r="H1" s="1" t="s">
        <v>289</v>
      </c>
    </row>
    <row r="2" spans="1:10" ht="13.5" thickBot="1" x14ac:dyDescent="0.25">
      <c r="H2" t="s">
        <v>290</v>
      </c>
    </row>
    <row r="3" spans="1:10" x14ac:dyDescent="0.2">
      <c r="A3" s="25" t="s">
        <v>28</v>
      </c>
      <c r="B3" s="5"/>
      <c r="C3" s="5"/>
      <c r="D3" s="6"/>
      <c r="H3" t="s">
        <v>381</v>
      </c>
    </row>
    <row r="4" spans="1:10" x14ac:dyDescent="0.2">
      <c r="A4" s="7"/>
      <c r="B4" s="21" t="s">
        <v>20</v>
      </c>
      <c r="C4" s="21" t="s">
        <v>22</v>
      </c>
      <c r="D4" s="8" t="s">
        <v>72</v>
      </c>
      <c r="H4" t="s">
        <v>291</v>
      </c>
    </row>
    <row r="5" spans="1:10" x14ac:dyDescent="0.2">
      <c r="A5" s="7"/>
      <c r="B5" s="12" t="s">
        <v>21</v>
      </c>
      <c r="C5" s="12" t="s">
        <v>23</v>
      </c>
      <c r="D5" s="22" t="s">
        <v>73</v>
      </c>
      <c r="F5" s="26" t="s">
        <v>126</v>
      </c>
      <c r="H5" t="s">
        <v>382</v>
      </c>
    </row>
    <row r="6" spans="1:10" x14ac:dyDescent="0.2">
      <c r="A6" s="13" t="s">
        <v>151</v>
      </c>
      <c r="B6" s="71">
        <v>23</v>
      </c>
      <c r="C6" s="71">
        <v>21</v>
      </c>
      <c r="D6" s="72">
        <v>56</v>
      </c>
      <c r="F6" t="s">
        <v>294</v>
      </c>
      <c r="H6" t="s">
        <v>383</v>
      </c>
    </row>
    <row r="7" spans="1:10" x14ac:dyDescent="0.2">
      <c r="A7" s="13" t="s">
        <v>152</v>
      </c>
      <c r="B7" s="71">
        <v>19</v>
      </c>
      <c r="C7" s="71">
        <v>18</v>
      </c>
      <c r="D7" s="72">
        <v>50</v>
      </c>
      <c r="F7" t="s">
        <v>294</v>
      </c>
    </row>
    <row r="8" spans="1:10" x14ac:dyDescent="0.2">
      <c r="A8" s="13" t="s">
        <v>153</v>
      </c>
      <c r="B8" s="71">
        <v>17</v>
      </c>
      <c r="C8" s="71">
        <v>16</v>
      </c>
      <c r="D8" s="72">
        <v>45</v>
      </c>
      <c r="F8" t="s">
        <v>294</v>
      </c>
    </row>
    <row r="9" spans="1:10" ht="13.5" thickBot="1" x14ac:dyDescent="0.25">
      <c r="A9" s="23" t="s">
        <v>154</v>
      </c>
      <c r="B9" s="73">
        <v>15</v>
      </c>
      <c r="C9" s="73">
        <v>13</v>
      </c>
      <c r="D9" s="74">
        <v>38</v>
      </c>
      <c r="F9" t="s">
        <v>294</v>
      </c>
    </row>
    <row r="16" spans="1:10" x14ac:dyDescent="0.2">
      <c r="J16" t="s">
        <v>331</v>
      </c>
    </row>
    <row r="17" spans="1:15" ht="13.5" thickBot="1" x14ac:dyDescent="0.25">
      <c r="A17" s="26" t="s">
        <v>125</v>
      </c>
    </row>
    <row r="18" spans="1:15" x14ac:dyDescent="0.2">
      <c r="A18" s="14"/>
      <c r="B18" s="15"/>
      <c r="C18" s="15"/>
      <c r="D18" s="15"/>
      <c r="E18" s="15"/>
      <c r="F18" s="15"/>
      <c r="G18" s="15" t="s">
        <v>18</v>
      </c>
      <c r="H18" s="15" t="s">
        <v>20</v>
      </c>
      <c r="I18" s="16" t="s">
        <v>22</v>
      </c>
      <c r="N18" t="s">
        <v>181</v>
      </c>
    </row>
    <row r="19" spans="1:15" x14ac:dyDescent="0.2">
      <c r="A19" s="27"/>
      <c r="B19" s="17"/>
      <c r="C19" s="28" t="s">
        <v>34</v>
      </c>
      <c r="D19" s="28" t="s">
        <v>134</v>
      </c>
      <c r="E19" s="28" t="s">
        <v>43</v>
      </c>
      <c r="F19" s="28" t="s">
        <v>43</v>
      </c>
      <c r="G19" s="17" t="s">
        <v>19</v>
      </c>
      <c r="H19" s="17" t="s">
        <v>21</v>
      </c>
      <c r="I19" s="29" t="s">
        <v>23</v>
      </c>
    </row>
    <row r="20" spans="1:15" ht="13.5" thickBot="1" x14ac:dyDescent="0.25">
      <c r="A20" s="30" t="s">
        <v>8</v>
      </c>
      <c r="B20" s="31" t="s">
        <v>69</v>
      </c>
      <c r="C20" s="31" t="s">
        <v>42</v>
      </c>
      <c r="D20" s="40" t="s">
        <v>135</v>
      </c>
      <c r="E20" s="31" t="s">
        <v>45</v>
      </c>
      <c r="F20" s="31" t="s">
        <v>46</v>
      </c>
      <c r="G20" s="32">
        <v>1</v>
      </c>
      <c r="H20" s="32">
        <v>1</v>
      </c>
      <c r="I20" s="33">
        <v>1</v>
      </c>
      <c r="K20" s="26" t="s">
        <v>27</v>
      </c>
      <c r="M20" s="26" t="s">
        <v>126</v>
      </c>
      <c r="O20" s="1" t="s">
        <v>293</v>
      </c>
    </row>
    <row r="21" spans="1:15" x14ac:dyDescent="0.2">
      <c r="A21" s="7">
        <v>0</v>
      </c>
      <c r="D21" s="44"/>
      <c r="G21" s="36"/>
      <c r="H21" s="36"/>
      <c r="I21" s="45"/>
      <c r="K21" s="26"/>
      <c r="M21" s="26"/>
    </row>
    <row r="22" spans="1:15" x14ac:dyDescent="0.2">
      <c r="A22" s="7" t="s">
        <v>499</v>
      </c>
      <c r="B22" s="69" t="s">
        <v>67</v>
      </c>
      <c r="C22" s="69">
        <v>1</v>
      </c>
      <c r="D22" s="75" t="b">
        <v>1</v>
      </c>
      <c r="E22" s="76">
        <f>D6-(7500-Grundfutterbilanz!E7)/1000*0.015*D6</f>
        <v>49.7</v>
      </c>
      <c r="F22" s="19">
        <f>E22/3.65</f>
        <v>13.616438356164384</v>
      </c>
      <c r="G22" s="76">
        <f>30/3.65</f>
        <v>8.2191780821917817</v>
      </c>
      <c r="H22" s="76" t="e">
        <f>B6-(7500-#REF!)/1000*0.05*B6</f>
        <v>#REF!</v>
      </c>
      <c r="I22" s="79" t="e">
        <f>C6-(7500-#REF!)/1000*0.05*C6</f>
        <v>#REF!</v>
      </c>
      <c r="K22" t="s">
        <v>12</v>
      </c>
      <c r="M22" t="s">
        <v>391</v>
      </c>
    </row>
    <row r="23" spans="1:15" x14ac:dyDescent="0.2">
      <c r="A23" s="7" t="s">
        <v>2</v>
      </c>
      <c r="B23" s="69" t="s">
        <v>67</v>
      </c>
      <c r="C23" s="69">
        <v>1</v>
      </c>
      <c r="D23" s="75" t="b">
        <v>1</v>
      </c>
      <c r="E23" s="76">
        <f>IF(Grundfutterbilanz!E8="600-700 kg",45,IF(Grundfutterbilanz!E8="&lt;600 kg",38,50))</f>
        <v>50</v>
      </c>
      <c r="F23" s="19">
        <f>E23/3.65</f>
        <v>13.698630136986301</v>
      </c>
      <c r="G23" s="76">
        <f>25/3.65</f>
        <v>6.8493150684931505</v>
      </c>
      <c r="H23" s="76" t="e">
        <f>IF(#REF!="600-700 kg",B8,IF(#REF!="&lt;600 kg",B9,B7))</f>
        <v>#REF!</v>
      </c>
      <c r="I23" s="79" t="e">
        <f>IF(#REF!="600-700 kg",C8,IF(#REF!="&lt;600 kg",C9,C7))</f>
        <v>#REF!</v>
      </c>
      <c r="K23" t="s">
        <v>13</v>
      </c>
      <c r="M23" t="s">
        <v>391</v>
      </c>
      <c r="O23" t="s">
        <v>295</v>
      </c>
    </row>
    <row r="24" spans="1:15" x14ac:dyDescent="0.2">
      <c r="A24" s="7" t="s">
        <v>329</v>
      </c>
      <c r="B24" s="69" t="s">
        <v>67</v>
      </c>
      <c r="C24" s="77">
        <v>0.13</v>
      </c>
      <c r="D24" s="75" t="b">
        <v>1</v>
      </c>
      <c r="E24" s="76">
        <v>6</v>
      </c>
      <c r="F24" s="19">
        <f>E24/3.65</f>
        <v>1.6438356164383563</v>
      </c>
      <c r="G24" s="76">
        <f>8/3.65/0.23*0.13</f>
        <v>1.238832638475283</v>
      </c>
      <c r="H24" s="76">
        <v>3.8</v>
      </c>
      <c r="I24" s="79">
        <v>3.6</v>
      </c>
      <c r="K24" t="s">
        <v>14</v>
      </c>
      <c r="M24" t="s">
        <v>432</v>
      </c>
    </row>
    <row r="25" spans="1:15" x14ac:dyDescent="0.2">
      <c r="A25" s="49" t="s">
        <v>332</v>
      </c>
      <c r="B25" s="69" t="s">
        <v>67</v>
      </c>
      <c r="C25" s="77">
        <v>0.33</v>
      </c>
      <c r="D25" s="75" t="b">
        <v>1</v>
      </c>
      <c r="E25" s="78">
        <v>20.2</v>
      </c>
      <c r="F25" s="19">
        <f>E25/3.65</f>
        <v>5.5342465753424657</v>
      </c>
      <c r="G25" s="76">
        <f>8/3.65/0.23*0.33</f>
        <v>3.1447290053603338</v>
      </c>
      <c r="H25" s="76">
        <v>5.7</v>
      </c>
      <c r="I25" s="79">
        <v>5.5</v>
      </c>
      <c r="K25" t="s">
        <v>333</v>
      </c>
      <c r="M25" t="s">
        <v>433</v>
      </c>
    </row>
    <row r="26" spans="1:15" x14ac:dyDescent="0.2">
      <c r="A26" s="7" t="s">
        <v>3</v>
      </c>
      <c r="B26" s="69" t="s">
        <v>67</v>
      </c>
      <c r="C26" s="69">
        <v>0.4</v>
      </c>
      <c r="D26" s="75" t="b">
        <v>1</v>
      </c>
      <c r="E26" s="78">
        <v>26</v>
      </c>
      <c r="F26" s="19">
        <f t="shared" ref="F26:F55" si="0">E26/3.65</f>
        <v>7.1232876712328768</v>
      </c>
      <c r="G26" s="76">
        <f>12/3.65</f>
        <v>3.2876712328767126</v>
      </c>
      <c r="H26" s="76">
        <v>8</v>
      </c>
      <c r="I26" s="79">
        <v>7.6</v>
      </c>
      <c r="K26" t="s">
        <v>15</v>
      </c>
      <c r="M26" t="s">
        <v>384</v>
      </c>
      <c r="O26" t="s">
        <v>298</v>
      </c>
    </row>
    <row r="27" spans="1:15" x14ac:dyDescent="0.2">
      <c r="A27" s="7" t="s">
        <v>4</v>
      </c>
      <c r="B27" s="69" t="s">
        <v>67</v>
      </c>
      <c r="C27" s="69">
        <v>0.6</v>
      </c>
      <c r="D27" s="75" t="b">
        <v>1</v>
      </c>
      <c r="E27" s="76">
        <v>33</v>
      </c>
      <c r="F27" s="19">
        <f t="shared" si="0"/>
        <v>9.0410958904109595</v>
      </c>
      <c r="G27" s="76">
        <f>16/3.65</f>
        <v>4.3835616438356162</v>
      </c>
      <c r="H27" s="76">
        <v>12</v>
      </c>
      <c r="I27" s="79">
        <v>10</v>
      </c>
      <c r="K27" t="s">
        <v>16</v>
      </c>
      <c r="M27" t="s">
        <v>391</v>
      </c>
    </row>
    <row r="28" spans="1:15" x14ac:dyDescent="0.2">
      <c r="A28" s="49" t="s">
        <v>184</v>
      </c>
      <c r="B28" s="53" t="s">
        <v>68</v>
      </c>
      <c r="C28" s="77">
        <v>0.13</v>
      </c>
      <c r="D28" s="75" t="b">
        <v>1</v>
      </c>
      <c r="E28" s="76">
        <v>1</v>
      </c>
      <c r="F28" s="19">
        <f t="shared" si="0"/>
        <v>0.27397260273972601</v>
      </c>
      <c r="G28" s="76">
        <f>4.2/3.65</f>
        <v>1.1506849315068495</v>
      </c>
      <c r="H28" s="78">
        <v>3.4</v>
      </c>
      <c r="I28" s="81">
        <f>3.2</f>
        <v>3.2</v>
      </c>
      <c r="K28" t="s">
        <v>76</v>
      </c>
      <c r="M28" t="s">
        <v>385</v>
      </c>
    </row>
    <row r="29" spans="1:15" x14ac:dyDescent="0.2">
      <c r="A29" s="49" t="s">
        <v>435</v>
      </c>
      <c r="B29" s="53" t="s">
        <v>68</v>
      </c>
      <c r="C29" s="77">
        <v>0.13</v>
      </c>
      <c r="D29" s="75" t="b">
        <v>1</v>
      </c>
      <c r="E29" s="76">
        <v>2.8</v>
      </c>
      <c r="F29" s="19">
        <f t="shared" si="0"/>
        <v>0.76712328767123283</v>
      </c>
      <c r="G29" s="76">
        <f>2.4/3.65</f>
        <v>0.65753424657534243</v>
      </c>
      <c r="H29" s="76">
        <v>3.8</v>
      </c>
      <c r="I29" s="79">
        <v>3.6</v>
      </c>
      <c r="K29" t="s">
        <v>78</v>
      </c>
      <c r="M29" t="s">
        <v>436</v>
      </c>
    </row>
    <row r="30" spans="1:15" x14ac:dyDescent="0.2">
      <c r="A30" s="49" t="s">
        <v>434</v>
      </c>
      <c r="B30" s="53" t="s">
        <v>68</v>
      </c>
      <c r="C30" s="69">
        <v>0.33</v>
      </c>
      <c r="D30" s="75" t="b">
        <v>1</v>
      </c>
      <c r="E30" s="76">
        <v>18.8</v>
      </c>
      <c r="F30" s="19">
        <f t="shared" si="0"/>
        <v>5.1506849315068495</v>
      </c>
      <c r="G30" s="76">
        <f>4.2/3.65</f>
        <v>1.1506849315068495</v>
      </c>
      <c r="H30" s="76">
        <v>6</v>
      </c>
      <c r="I30" s="79">
        <v>5.5</v>
      </c>
      <c r="K30" t="s">
        <v>77</v>
      </c>
      <c r="M30" t="s">
        <v>436</v>
      </c>
    </row>
    <row r="31" spans="1:15" x14ac:dyDescent="0.2">
      <c r="A31" s="7" t="s">
        <v>51</v>
      </c>
      <c r="B31" s="69" t="s">
        <v>67</v>
      </c>
      <c r="C31" s="69">
        <v>0.6</v>
      </c>
      <c r="D31" s="75" t="b">
        <v>1</v>
      </c>
      <c r="E31" s="76">
        <v>30</v>
      </c>
      <c r="F31" s="19">
        <f t="shared" si="0"/>
        <v>8.2191780821917817</v>
      </c>
      <c r="G31" s="76">
        <f>16/3.65</f>
        <v>4.3835616438356162</v>
      </c>
      <c r="H31" s="76">
        <v>17.600000000000001</v>
      </c>
      <c r="I31" s="79">
        <v>16</v>
      </c>
      <c r="K31" t="s">
        <v>74</v>
      </c>
      <c r="M31" t="s">
        <v>392</v>
      </c>
      <c r="O31" t="s">
        <v>297</v>
      </c>
    </row>
    <row r="32" spans="1:15" x14ac:dyDescent="0.2">
      <c r="A32" s="64" t="s">
        <v>452</v>
      </c>
      <c r="B32" s="53" t="s">
        <v>68</v>
      </c>
      <c r="C32" s="77">
        <v>0.13</v>
      </c>
      <c r="D32" s="75" t="b">
        <v>1</v>
      </c>
      <c r="E32" s="76">
        <v>6</v>
      </c>
      <c r="F32" s="19">
        <f t="shared" si="0"/>
        <v>1.6438356164383563</v>
      </c>
      <c r="G32" s="76">
        <f>11/3.65</f>
        <v>3.0136986301369864</v>
      </c>
      <c r="H32" s="76">
        <v>4.5</v>
      </c>
      <c r="I32" s="79">
        <v>5</v>
      </c>
      <c r="K32" t="s">
        <v>254</v>
      </c>
      <c r="M32" t="s">
        <v>394</v>
      </c>
      <c r="O32" t="s">
        <v>393</v>
      </c>
    </row>
    <row r="33" spans="1:15" x14ac:dyDescent="0.2">
      <c r="A33" s="64" t="s">
        <v>380</v>
      </c>
      <c r="B33" s="53" t="s">
        <v>68</v>
      </c>
      <c r="C33" s="77">
        <v>0.26</v>
      </c>
      <c r="D33" s="75" t="b">
        <v>1</v>
      </c>
      <c r="E33" s="76">
        <v>21</v>
      </c>
      <c r="F33" s="19">
        <f t="shared" si="0"/>
        <v>5.7534246575342465</v>
      </c>
      <c r="G33" s="76">
        <f>16/3.65</f>
        <v>4.3835616438356162</v>
      </c>
      <c r="H33" s="76">
        <v>5.8</v>
      </c>
      <c r="I33" s="79">
        <v>11</v>
      </c>
      <c r="K33" t="s">
        <v>75</v>
      </c>
      <c r="M33" t="s">
        <v>395</v>
      </c>
      <c r="O33" t="s">
        <v>296</v>
      </c>
    </row>
    <row r="34" spans="1:15" x14ac:dyDescent="0.2">
      <c r="A34" s="64" t="s">
        <v>453</v>
      </c>
      <c r="B34" s="53" t="s">
        <v>68</v>
      </c>
      <c r="C34" s="77">
        <v>0.35</v>
      </c>
      <c r="D34" s="75" t="b">
        <v>1</v>
      </c>
      <c r="E34" s="76">
        <v>16</v>
      </c>
      <c r="F34" s="19">
        <f t="shared" si="0"/>
        <v>4.3835616438356162</v>
      </c>
      <c r="G34" s="76">
        <f>16/3.65</f>
        <v>4.3835616438356162</v>
      </c>
      <c r="H34" s="78">
        <v>10</v>
      </c>
      <c r="I34" s="81">
        <v>11</v>
      </c>
      <c r="K34" t="s">
        <v>79</v>
      </c>
      <c r="M34" t="s">
        <v>396</v>
      </c>
    </row>
    <row r="35" spans="1:15" x14ac:dyDescent="0.2">
      <c r="A35" s="80" t="s">
        <v>52</v>
      </c>
      <c r="B35" s="69" t="s">
        <v>67</v>
      </c>
      <c r="C35" s="77">
        <v>0.35</v>
      </c>
      <c r="D35" s="75"/>
      <c r="E35" s="76">
        <v>17</v>
      </c>
      <c r="F35" s="19">
        <f t="shared" si="0"/>
        <v>4.6575342465753424</v>
      </c>
      <c r="G35" s="78">
        <v>4</v>
      </c>
      <c r="H35" s="19"/>
      <c r="I35" s="79">
        <v>5.6</v>
      </c>
      <c r="K35" t="s">
        <v>80</v>
      </c>
      <c r="M35" t="s">
        <v>386</v>
      </c>
      <c r="O35" t="s">
        <v>397</v>
      </c>
    </row>
    <row r="36" spans="1:15" x14ac:dyDescent="0.2">
      <c r="A36" s="80" t="s">
        <v>53</v>
      </c>
      <c r="B36" s="69" t="s">
        <v>67</v>
      </c>
      <c r="C36" s="69">
        <v>0.35</v>
      </c>
      <c r="D36" s="75"/>
      <c r="E36" s="76">
        <v>10</v>
      </c>
      <c r="F36" s="19">
        <f t="shared" si="0"/>
        <v>2.7397260273972601</v>
      </c>
      <c r="G36" s="78">
        <v>4</v>
      </c>
      <c r="H36" s="19"/>
      <c r="I36" s="79">
        <v>3.5</v>
      </c>
      <c r="K36" t="s">
        <v>149</v>
      </c>
      <c r="M36" t="s">
        <v>386</v>
      </c>
      <c r="O36" t="s">
        <v>388</v>
      </c>
    </row>
    <row r="37" spans="1:15" x14ac:dyDescent="0.2">
      <c r="A37" s="80" t="s">
        <v>54</v>
      </c>
      <c r="B37" s="69" t="s">
        <v>67</v>
      </c>
      <c r="C37" s="69">
        <v>0.7</v>
      </c>
      <c r="D37" s="75"/>
      <c r="E37" s="76">
        <v>29</v>
      </c>
      <c r="F37" s="19">
        <f t="shared" si="0"/>
        <v>7.9452054794520546</v>
      </c>
      <c r="G37" s="76">
        <f>29/3.65</f>
        <v>7.9452054794520546</v>
      </c>
      <c r="H37" s="19"/>
      <c r="I37" s="79">
        <v>12</v>
      </c>
      <c r="K37" t="s">
        <v>81</v>
      </c>
      <c r="M37" t="s">
        <v>384</v>
      </c>
      <c r="O37" t="s">
        <v>387</v>
      </c>
    </row>
    <row r="38" spans="1:15" x14ac:dyDescent="0.2">
      <c r="A38" s="80" t="s">
        <v>183</v>
      </c>
      <c r="B38" s="69" t="s">
        <v>67</v>
      </c>
      <c r="C38" s="69">
        <v>1</v>
      </c>
      <c r="D38" s="75"/>
      <c r="E38" s="76">
        <v>29</v>
      </c>
      <c r="F38" s="19">
        <f t="shared" si="0"/>
        <v>7.9452054794520546</v>
      </c>
      <c r="G38" s="76">
        <f>36/3.65</f>
        <v>9.8630136986301373</v>
      </c>
      <c r="H38" s="19"/>
      <c r="I38" s="79">
        <v>14</v>
      </c>
      <c r="K38" t="s">
        <v>82</v>
      </c>
      <c r="M38" t="s">
        <v>384</v>
      </c>
      <c r="O38" t="s">
        <v>389</v>
      </c>
    </row>
    <row r="39" spans="1:15" x14ac:dyDescent="0.2">
      <c r="A39" s="80" t="s">
        <v>55</v>
      </c>
      <c r="B39" s="69" t="s">
        <v>67</v>
      </c>
      <c r="C39" s="69">
        <v>0.5</v>
      </c>
      <c r="D39" s="75"/>
      <c r="E39" s="76">
        <v>26</v>
      </c>
      <c r="F39" s="19">
        <f t="shared" si="0"/>
        <v>7.1232876712328768</v>
      </c>
      <c r="G39" s="76">
        <f>15/3.65</f>
        <v>4.1095890410958908</v>
      </c>
      <c r="H39" s="19"/>
      <c r="I39" s="79">
        <v>10</v>
      </c>
      <c r="K39" t="s">
        <v>83</v>
      </c>
      <c r="M39" t="s">
        <v>384</v>
      </c>
      <c r="O39" t="s">
        <v>390</v>
      </c>
    </row>
    <row r="40" spans="1:15" x14ac:dyDescent="0.2">
      <c r="A40" s="80" t="s">
        <v>56</v>
      </c>
      <c r="B40" s="53" t="s">
        <v>68</v>
      </c>
      <c r="C40" s="69">
        <v>0.2</v>
      </c>
      <c r="D40" s="75"/>
      <c r="E40" s="76">
        <v>7.5</v>
      </c>
      <c r="F40" s="19">
        <f t="shared" si="0"/>
        <v>2.0547945205479454</v>
      </c>
      <c r="G40" s="76">
        <f>3.7/3.65</f>
        <v>1.0136986301369864</v>
      </c>
      <c r="H40" s="19"/>
      <c r="I40" s="79">
        <v>2</v>
      </c>
      <c r="K40" t="s">
        <v>86</v>
      </c>
      <c r="M40" t="s">
        <v>398</v>
      </c>
      <c r="O40" t="s">
        <v>399</v>
      </c>
    </row>
    <row r="41" spans="1:15" x14ac:dyDescent="0.2">
      <c r="A41" s="80" t="s">
        <v>437</v>
      </c>
      <c r="B41" s="53" t="s">
        <v>68</v>
      </c>
      <c r="C41" s="69">
        <v>0.17</v>
      </c>
      <c r="D41" s="75"/>
      <c r="E41" s="76">
        <v>8</v>
      </c>
      <c r="F41" s="19">
        <f t="shared" si="0"/>
        <v>2.1917808219178081</v>
      </c>
      <c r="G41" s="76">
        <f t="shared" ref="G41:G42" si="1">3.7/3.65</f>
        <v>1.0136986301369864</v>
      </c>
      <c r="H41" s="19"/>
      <c r="I41" s="79">
        <v>1.7</v>
      </c>
      <c r="K41" t="s">
        <v>57</v>
      </c>
      <c r="M41" t="s">
        <v>391</v>
      </c>
      <c r="O41" t="s">
        <v>299</v>
      </c>
    </row>
    <row r="42" spans="1:15" x14ac:dyDescent="0.2">
      <c r="A42" s="80" t="s">
        <v>58</v>
      </c>
      <c r="B42" s="53" t="s">
        <v>68</v>
      </c>
      <c r="C42" s="69">
        <v>0.25</v>
      </c>
      <c r="D42" s="75"/>
      <c r="E42" s="76">
        <v>11</v>
      </c>
      <c r="F42" s="19">
        <f t="shared" si="0"/>
        <v>3.0136986301369864</v>
      </c>
      <c r="G42" s="76">
        <f t="shared" si="1"/>
        <v>1.0136986301369864</v>
      </c>
      <c r="H42" s="19"/>
      <c r="I42" s="79">
        <v>2.2999999999999998</v>
      </c>
      <c r="K42" t="s">
        <v>84</v>
      </c>
      <c r="M42" t="s">
        <v>391</v>
      </c>
      <c r="O42" t="s">
        <v>299</v>
      </c>
    </row>
    <row r="43" spans="1:15" x14ac:dyDescent="0.2">
      <c r="A43" s="80" t="s">
        <v>439</v>
      </c>
      <c r="B43" s="53" t="s">
        <v>68</v>
      </c>
      <c r="C43" s="69">
        <v>0.17</v>
      </c>
      <c r="D43" s="75"/>
      <c r="E43" s="76">
        <v>7.5</v>
      </c>
      <c r="F43" s="19">
        <f t="shared" si="0"/>
        <v>2.0547945205479454</v>
      </c>
      <c r="G43" s="76">
        <f>3.7/3.65</f>
        <v>1.0136986301369864</v>
      </c>
      <c r="H43" s="19"/>
      <c r="I43" s="79">
        <v>1.7</v>
      </c>
      <c r="K43" t="s">
        <v>85</v>
      </c>
      <c r="M43" t="s">
        <v>391</v>
      </c>
      <c r="O43" t="s">
        <v>299</v>
      </c>
    </row>
    <row r="44" spans="1:15" x14ac:dyDescent="0.2">
      <c r="A44" s="80" t="s">
        <v>488</v>
      </c>
      <c r="B44" s="53" t="s">
        <v>68</v>
      </c>
      <c r="C44" s="69">
        <v>0.06</v>
      </c>
      <c r="D44" s="75"/>
      <c r="E44" s="76">
        <v>0</v>
      </c>
      <c r="F44" s="19">
        <f t="shared" si="0"/>
        <v>0</v>
      </c>
      <c r="G44" s="76">
        <v>0</v>
      </c>
      <c r="H44" s="19"/>
      <c r="I44" s="79">
        <v>0</v>
      </c>
    </row>
    <row r="45" spans="1:15" x14ac:dyDescent="0.2">
      <c r="A45" s="80" t="s">
        <v>489</v>
      </c>
      <c r="B45" s="53" t="s">
        <v>68</v>
      </c>
      <c r="C45" s="69">
        <v>0.03</v>
      </c>
      <c r="D45" s="75"/>
      <c r="E45" s="76">
        <v>0</v>
      </c>
      <c r="F45" s="19">
        <f t="shared" si="0"/>
        <v>0</v>
      </c>
      <c r="G45" s="76">
        <v>0</v>
      </c>
      <c r="H45" s="19"/>
      <c r="I45" s="79">
        <v>0</v>
      </c>
    </row>
    <row r="46" spans="1:15" x14ac:dyDescent="0.2">
      <c r="A46" s="80" t="s">
        <v>490</v>
      </c>
      <c r="B46" s="53" t="s">
        <v>68</v>
      </c>
      <c r="C46" s="69">
        <v>0.06</v>
      </c>
      <c r="D46" s="75"/>
      <c r="E46" s="76">
        <v>0</v>
      </c>
      <c r="F46" s="19">
        <f t="shared" si="0"/>
        <v>0</v>
      </c>
      <c r="G46" s="76">
        <v>0</v>
      </c>
      <c r="H46" s="19"/>
      <c r="I46" s="79">
        <v>0</v>
      </c>
    </row>
    <row r="47" spans="1:15" x14ac:dyDescent="0.2">
      <c r="A47" s="80" t="s">
        <v>491</v>
      </c>
      <c r="B47" s="53" t="s">
        <v>68</v>
      </c>
      <c r="C47" s="69">
        <v>0.03</v>
      </c>
      <c r="D47" s="75"/>
      <c r="E47" s="76">
        <v>0</v>
      </c>
      <c r="F47" s="19">
        <f t="shared" si="0"/>
        <v>0</v>
      </c>
      <c r="G47" s="76">
        <v>0</v>
      </c>
      <c r="H47" s="19"/>
      <c r="I47" s="79">
        <v>0</v>
      </c>
    </row>
    <row r="48" spans="1:15" x14ac:dyDescent="0.2">
      <c r="A48" s="80" t="s">
        <v>64</v>
      </c>
      <c r="B48" s="53" t="s">
        <v>68</v>
      </c>
      <c r="C48" s="69">
        <v>1</v>
      </c>
      <c r="D48" s="75"/>
      <c r="E48" s="76">
        <v>39</v>
      </c>
      <c r="F48" s="19">
        <f t="shared" si="0"/>
        <v>10.684931506849315</v>
      </c>
      <c r="G48" s="78">
        <v>4.4000000000000004</v>
      </c>
      <c r="H48" s="19"/>
      <c r="I48" s="79">
        <v>9.6</v>
      </c>
      <c r="K48" t="s">
        <v>87</v>
      </c>
      <c r="M48" t="s">
        <v>300</v>
      </c>
      <c r="O48" t="s">
        <v>301</v>
      </c>
    </row>
    <row r="49" spans="1:15" x14ac:dyDescent="0.2">
      <c r="A49" s="80" t="s">
        <v>65</v>
      </c>
      <c r="B49" s="53" t="s">
        <v>68</v>
      </c>
      <c r="C49" s="69">
        <v>0.4</v>
      </c>
      <c r="D49" s="75"/>
      <c r="E49" s="76">
        <v>18</v>
      </c>
      <c r="F49" s="19">
        <f t="shared" si="0"/>
        <v>4.9315068493150687</v>
      </c>
      <c r="G49" s="78">
        <v>3.3</v>
      </c>
      <c r="H49" s="19"/>
      <c r="I49" s="79">
        <v>4.4000000000000004</v>
      </c>
      <c r="K49" t="s">
        <v>88</v>
      </c>
      <c r="M49" t="s">
        <v>300</v>
      </c>
      <c r="O49" t="s">
        <v>301</v>
      </c>
    </row>
    <row r="50" spans="1:15" x14ac:dyDescent="0.2">
      <c r="A50" s="80" t="s">
        <v>451</v>
      </c>
      <c r="B50" s="53" t="s">
        <v>68</v>
      </c>
      <c r="C50" s="69">
        <v>0.1</v>
      </c>
      <c r="D50" s="75"/>
      <c r="E50" s="76">
        <v>10</v>
      </c>
      <c r="F50" s="19">
        <f t="shared" si="0"/>
        <v>2.7397260273972601</v>
      </c>
      <c r="G50" s="78">
        <v>1.2</v>
      </c>
      <c r="H50" s="19"/>
      <c r="I50" s="79">
        <v>1.6</v>
      </c>
      <c r="K50" t="s">
        <v>89</v>
      </c>
      <c r="M50" t="s">
        <v>300</v>
      </c>
      <c r="O50" t="s">
        <v>301</v>
      </c>
    </row>
    <row r="51" spans="1:15" x14ac:dyDescent="0.2">
      <c r="A51" s="80" t="s">
        <v>66</v>
      </c>
      <c r="B51" s="53" t="s">
        <v>68</v>
      </c>
      <c r="C51" s="69">
        <v>0.2</v>
      </c>
      <c r="D51" s="75"/>
      <c r="E51" s="76">
        <v>20</v>
      </c>
      <c r="F51" s="19">
        <f t="shared" si="0"/>
        <v>5.4794520547945202</v>
      </c>
      <c r="G51" s="78">
        <v>1.2</v>
      </c>
      <c r="H51" s="19"/>
      <c r="I51" s="79">
        <v>1.6</v>
      </c>
      <c r="K51" t="s">
        <v>90</v>
      </c>
      <c r="M51" t="s">
        <v>300</v>
      </c>
      <c r="O51" t="s">
        <v>301</v>
      </c>
    </row>
    <row r="52" spans="1:15" x14ac:dyDescent="0.2">
      <c r="A52" s="80" t="s">
        <v>285</v>
      </c>
      <c r="B52" s="53" t="s">
        <v>68</v>
      </c>
      <c r="C52" s="69">
        <v>0.17</v>
      </c>
      <c r="D52" s="75"/>
      <c r="E52" s="76">
        <v>8.5</v>
      </c>
      <c r="F52" s="19">
        <f t="shared" si="0"/>
        <v>2.3287671232876712</v>
      </c>
      <c r="G52" s="78">
        <v>1.2</v>
      </c>
      <c r="H52" s="19"/>
      <c r="I52" s="79">
        <v>1.6</v>
      </c>
      <c r="K52" t="s">
        <v>91</v>
      </c>
      <c r="M52" t="s">
        <v>300</v>
      </c>
      <c r="O52" t="s">
        <v>301</v>
      </c>
    </row>
    <row r="53" spans="1:15" x14ac:dyDescent="0.2">
      <c r="A53" s="80" t="s">
        <v>286</v>
      </c>
      <c r="B53" s="53" t="s">
        <v>68</v>
      </c>
      <c r="C53" s="69">
        <v>0.11</v>
      </c>
      <c r="D53" s="75"/>
      <c r="E53" s="76">
        <v>4.9000000000000004</v>
      </c>
      <c r="F53" s="19">
        <f t="shared" si="0"/>
        <v>1.3424657534246576</v>
      </c>
      <c r="G53" s="78">
        <v>1.2</v>
      </c>
      <c r="H53" s="19"/>
      <c r="I53" s="79">
        <v>1.6</v>
      </c>
      <c r="K53" t="s">
        <v>92</v>
      </c>
      <c r="M53" t="s">
        <v>300</v>
      </c>
      <c r="O53" t="s">
        <v>301</v>
      </c>
    </row>
    <row r="54" spans="1:15" x14ac:dyDescent="0.2">
      <c r="A54" s="80" t="s">
        <v>287</v>
      </c>
      <c r="B54" s="53" t="s">
        <v>68</v>
      </c>
      <c r="C54" s="69">
        <v>0.11</v>
      </c>
      <c r="D54" s="75"/>
      <c r="E54" s="76">
        <v>5.5</v>
      </c>
      <c r="F54" s="19">
        <f t="shared" si="0"/>
        <v>1.5068493150684932</v>
      </c>
      <c r="G54" s="78">
        <v>1.2</v>
      </c>
      <c r="H54" s="19"/>
      <c r="I54" s="79">
        <v>1.6</v>
      </c>
      <c r="K54" t="s">
        <v>93</v>
      </c>
      <c r="M54" t="s">
        <v>300</v>
      </c>
      <c r="O54" t="s">
        <v>301</v>
      </c>
    </row>
    <row r="55" spans="1:15" x14ac:dyDescent="0.2">
      <c r="A55" s="80" t="s">
        <v>288</v>
      </c>
      <c r="B55" s="53" t="s">
        <v>68</v>
      </c>
      <c r="C55" s="69">
        <v>7.0000000000000007E-2</v>
      </c>
      <c r="D55" s="75"/>
      <c r="E55" s="76">
        <v>3</v>
      </c>
      <c r="F55" s="19">
        <f t="shared" si="0"/>
        <v>0.82191780821917815</v>
      </c>
      <c r="G55" s="78">
        <v>1</v>
      </c>
      <c r="H55" s="20"/>
      <c r="I55" s="79">
        <v>1.6</v>
      </c>
      <c r="K55" t="s">
        <v>94</v>
      </c>
      <c r="M55" t="s">
        <v>300</v>
      </c>
      <c r="O55" t="s">
        <v>301</v>
      </c>
    </row>
    <row r="56" spans="1:15" ht="13.5" thickBot="1" x14ac:dyDescent="0.25">
      <c r="A56" s="9">
        <v>0</v>
      </c>
      <c r="B56" s="2">
        <v>0</v>
      </c>
      <c r="C56" s="2">
        <v>0</v>
      </c>
      <c r="D56" s="42">
        <v>0</v>
      </c>
      <c r="E56" s="2">
        <v>0</v>
      </c>
      <c r="F56" s="2">
        <v>0</v>
      </c>
      <c r="G56" s="2"/>
      <c r="H56" s="2"/>
      <c r="I56" s="10"/>
    </row>
    <row r="59" spans="1:15" ht="13.5" thickBot="1" x14ac:dyDescent="0.25">
      <c r="A59" s="26" t="s">
        <v>133</v>
      </c>
    </row>
    <row r="60" spans="1:15" x14ac:dyDescent="0.2">
      <c r="A60" s="4"/>
      <c r="B60" s="5" t="s">
        <v>18</v>
      </c>
      <c r="C60" s="5" t="s">
        <v>20</v>
      </c>
      <c r="D60" s="5" t="s">
        <v>22</v>
      </c>
      <c r="E60" s="5"/>
      <c r="F60" s="5"/>
      <c r="G60" s="5"/>
      <c r="H60" s="6" t="s">
        <v>17</v>
      </c>
    </row>
    <row r="61" spans="1:15" ht="13.5" thickBot="1" x14ac:dyDescent="0.25">
      <c r="A61" s="9"/>
      <c r="B61" s="2" t="s">
        <v>19</v>
      </c>
      <c r="C61" s="2" t="s">
        <v>21</v>
      </c>
      <c r="D61" s="2" t="s">
        <v>23</v>
      </c>
      <c r="E61" s="2" t="s">
        <v>24</v>
      </c>
      <c r="F61" s="2" t="s">
        <v>25</v>
      </c>
      <c r="G61" s="2" t="s">
        <v>26</v>
      </c>
      <c r="H61" s="10" t="s">
        <v>45</v>
      </c>
      <c r="I61" t="s">
        <v>479</v>
      </c>
      <c r="L61" t="s">
        <v>316</v>
      </c>
    </row>
    <row r="62" spans="1:15" ht="12" customHeight="1" x14ac:dyDescent="0.2">
      <c r="A62" s="4" t="s">
        <v>155</v>
      </c>
      <c r="B62" s="24">
        <f>G$22*E62</f>
        <v>0.8</v>
      </c>
      <c r="C62" s="24" t="e">
        <f>H$22*F62</f>
        <v>#REF!</v>
      </c>
      <c r="D62" s="24" t="e">
        <f>I$22*G62</f>
        <v>#REF!</v>
      </c>
      <c r="E62" s="82">
        <v>9.7333333333333327E-2</v>
      </c>
      <c r="F62" s="38">
        <v>1</v>
      </c>
      <c r="G62" s="38">
        <v>0</v>
      </c>
      <c r="H62" s="39">
        <f>B62*3.65</f>
        <v>2.92</v>
      </c>
      <c r="I62" s="68">
        <f>B62/1</f>
        <v>0.8</v>
      </c>
      <c r="J62" s="47"/>
      <c r="K62" s="48"/>
      <c r="L62">
        <v>0.8</v>
      </c>
      <c r="M62" s="50">
        <f>L62/$G$22</f>
        <v>9.7333333333333327E-2</v>
      </c>
    </row>
    <row r="63" spans="1:15" ht="12" customHeight="1" x14ac:dyDescent="0.2">
      <c r="A63" s="7" t="s">
        <v>156</v>
      </c>
      <c r="B63" s="19">
        <f t="shared" ref="B63" si="2">G$22*E63</f>
        <v>1.2</v>
      </c>
      <c r="C63" s="19" t="e">
        <f>H$22*F63</f>
        <v>#REF!</v>
      </c>
      <c r="D63" s="19" t="e">
        <f>I$22*G63</f>
        <v>#REF!</v>
      </c>
      <c r="E63" s="83">
        <v>0.14599999999999999</v>
      </c>
      <c r="F63" s="36">
        <v>0.81</v>
      </c>
      <c r="G63" s="36">
        <v>0.19</v>
      </c>
      <c r="H63" s="37">
        <f>B63*3.65</f>
        <v>4.38</v>
      </c>
      <c r="I63" s="68">
        <f t="shared" ref="I63:I87" si="3">B63/1</f>
        <v>1.2</v>
      </c>
      <c r="J63" s="47"/>
      <c r="K63" s="48"/>
      <c r="L63">
        <v>1.2</v>
      </c>
      <c r="M63" s="50">
        <f t="shared" ref="M63:M74" si="4">L63/$G$22</f>
        <v>0.14599999999999999</v>
      </c>
    </row>
    <row r="64" spans="1:15" ht="12" customHeight="1" x14ac:dyDescent="0.2">
      <c r="A64" s="19" t="s">
        <v>157</v>
      </c>
      <c r="B64" s="19">
        <f t="shared" ref="B64:B73" si="5">G$22*E64</f>
        <v>1.2</v>
      </c>
      <c r="C64" s="19" t="e">
        <f t="shared" ref="C64:C73" si="6">H$22*F64</f>
        <v>#REF!</v>
      </c>
      <c r="D64" s="19" t="e">
        <f t="shared" ref="D64:D74" si="7">I$22*G64</f>
        <v>#REF!</v>
      </c>
      <c r="E64" s="83">
        <v>0.14599999999999999</v>
      </c>
      <c r="F64" s="36">
        <v>0.62</v>
      </c>
      <c r="G64" s="36">
        <v>0.38</v>
      </c>
      <c r="H64" s="37">
        <f>B64*3.65</f>
        <v>4.38</v>
      </c>
      <c r="I64" s="68">
        <f t="shared" si="3"/>
        <v>1.2</v>
      </c>
      <c r="J64" s="47"/>
      <c r="K64" s="48"/>
      <c r="L64">
        <v>1.2</v>
      </c>
      <c r="M64" s="50">
        <f t="shared" si="4"/>
        <v>0.14599999999999999</v>
      </c>
    </row>
    <row r="65" spans="1:13" ht="12" customHeight="1" x14ac:dyDescent="0.2">
      <c r="A65" s="19" t="s">
        <v>158</v>
      </c>
      <c r="B65" s="19">
        <f t="shared" si="5"/>
        <v>1.5</v>
      </c>
      <c r="C65" s="19" t="e">
        <f t="shared" si="6"/>
        <v>#REF!</v>
      </c>
      <c r="D65" s="19" t="e">
        <f t="shared" si="7"/>
        <v>#REF!</v>
      </c>
      <c r="E65" s="83">
        <v>0.18249999999999997</v>
      </c>
      <c r="F65" s="36">
        <v>0.67</v>
      </c>
      <c r="G65" s="36">
        <v>0.33</v>
      </c>
      <c r="H65" s="37">
        <f>B65*3.65</f>
        <v>5.4749999999999996</v>
      </c>
      <c r="I65" s="68">
        <f t="shared" si="3"/>
        <v>1.5</v>
      </c>
      <c r="J65" s="47"/>
      <c r="K65" s="48"/>
      <c r="L65">
        <v>1.5</v>
      </c>
      <c r="M65" s="50">
        <f t="shared" si="4"/>
        <v>0.18249999999999997</v>
      </c>
    </row>
    <row r="66" spans="1:13" ht="12" customHeight="1" x14ac:dyDescent="0.2">
      <c r="A66" s="19" t="s">
        <v>159</v>
      </c>
      <c r="B66" s="19">
        <f t="shared" si="5"/>
        <v>1.5</v>
      </c>
      <c r="C66" s="19" t="e">
        <f t="shared" si="6"/>
        <v>#REF!</v>
      </c>
      <c r="D66" s="19" t="e">
        <f t="shared" si="7"/>
        <v>#REF!</v>
      </c>
      <c r="E66" s="83">
        <v>0.18249999999999997</v>
      </c>
      <c r="F66" s="36">
        <v>0.48</v>
      </c>
      <c r="G66" s="36">
        <v>0.52</v>
      </c>
      <c r="H66" s="37">
        <f t="shared" ref="H66:H74" si="8">B66*3.65</f>
        <v>5.4749999999999996</v>
      </c>
      <c r="I66" s="68">
        <f t="shared" si="3"/>
        <v>1.5</v>
      </c>
      <c r="J66" s="47"/>
      <c r="K66" s="48"/>
      <c r="L66">
        <v>1.5</v>
      </c>
      <c r="M66" s="50">
        <f t="shared" si="4"/>
        <v>0.18249999999999997</v>
      </c>
    </row>
    <row r="67" spans="1:13" ht="12" customHeight="1" x14ac:dyDescent="0.2">
      <c r="A67" s="19" t="s">
        <v>160</v>
      </c>
      <c r="B67" s="19">
        <f t="shared" si="5"/>
        <v>2.5</v>
      </c>
      <c r="C67" s="19" t="e">
        <f t="shared" si="6"/>
        <v>#REF!</v>
      </c>
      <c r="D67" s="19" t="e">
        <f t="shared" si="7"/>
        <v>#REF!</v>
      </c>
      <c r="E67" s="83">
        <v>0.30416666666666664</v>
      </c>
      <c r="F67" s="36">
        <v>0.3</v>
      </c>
      <c r="G67" s="36">
        <v>0.7</v>
      </c>
      <c r="H67" s="37">
        <f t="shared" si="8"/>
        <v>9.125</v>
      </c>
      <c r="I67" s="68">
        <f t="shared" si="3"/>
        <v>2.5</v>
      </c>
      <c r="J67" s="47"/>
      <c r="K67" s="48"/>
      <c r="L67">
        <v>2.5</v>
      </c>
      <c r="M67" s="50">
        <f t="shared" si="4"/>
        <v>0.30416666666666664</v>
      </c>
    </row>
    <row r="68" spans="1:13" ht="12" customHeight="1" x14ac:dyDescent="0.2">
      <c r="A68" s="19" t="s">
        <v>161</v>
      </c>
      <c r="B68" s="19">
        <f t="shared" si="5"/>
        <v>4</v>
      </c>
      <c r="C68" s="19" t="e">
        <f t="shared" si="6"/>
        <v>#REF!</v>
      </c>
      <c r="D68" s="19" t="e">
        <f t="shared" si="7"/>
        <v>#REF!</v>
      </c>
      <c r="E68" s="83">
        <v>0.48666666666666664</v>
      </c>
      <c r="F68" s="36">
        <v>0.5</v>
      </c>
      <c r="G68" s="36">
        <v>0.5</v>
      </c>
      <c r="H68" s="37">
        <f t="shared" si="8"/>
        <v>14.6</v>
      </c>
      <c r="I68" s="68">
        <f t="shared" si="3"/>
        <v>4</v>
      </c>
      <c r="J68" s="47"/>
      <c r="K68" s="48"/>
      <c r="L68">
        <v>4</v>
      </c>
      <c r="M68" s="50">
        <f t="shared" si="4"/>
        <v>0.48666666666666664</v>
      </c>
    </row>
    <row r="69" spans="1:13" ht="12" customHeight="1" x14ac:dyDescent="0.2">
      <c r="A69" s="19" t="s">
        <v>162</v>
      </c>
      <c r="B69" s="19">
        <f t="shared" si="5"/>
        <v>5</v>
      </c>
      <c r="C69" s="19" t="e">
        <f t="shared" si="6"/>
        <v>#REF!</v>
      </c>
      <c r="D69" s="19" t="e">
        <f t="shared" si="7"/>
        <v>#REF!</v>
      </c>
      <c r="E69" s="83">
        <v>0.60833333333333328</v>
      </c>
      <c r="F69" s="36">
        <v>0.3</v>
      </c>
      <c r="G69" s="36">
        <v>0.7</v>
      </c>
      <c r="H69" s="37">
        <f t="shared" si="8"/>
        <v>18.25</v>
      </c>
      <c r="I69" s="68">
        <f t="shared" si="3"/>
        <v>5</v>
      </c>
      <c r="J69" s="47"/>
      <c r="K69" s="48"/>
      <c r="L69">
        <v>5</v>
      </c>
      <c r="M69" s="50">
        <f t="shared" si="4"/>
        <v>0.60833333333333328</v>
      </c>
    </row>
    <row r="70" spans="1:13" ht="12" customHeight="1" x14ac:dyDescent="0.2">
      <c r="A70" s="19" t="s">
        <v>163</v>
      </c>
      <c r="B70" s="19">
        <f t="shared" si="5"/>
        <v>5</v>
      </c>
      <c r="C70" s="19" t="e">
        <f>H$22*F70</f>
        <v>#REF!</v>
      </c>
      <c r="D70" s="19" t="e">
        <f t="shared" si="7"/>
        <v>#REF!</v>
      </c>
      <c r="E70" s="83">
        <v>0.60833333333333328</v>
      </c>
      <c r="F70" s="36">
        <v>0.25</v>
      </c>
      <c r="G70" s="36">
        <v>0.75</v>
      </c>
      <c r="H70" s="37">
        <f t="shared" si="8"/>
        <v>18.25</v>
      </c>
      <c r="I70" s="68">
        <f t="shared" si="3"/>
        <v>5</v>
      </c>
      <c r="J70" s="47"/>
      <c r="K70" s="48"/>
      <c r="L70">
        <v>5</v>
      </c>
      <c r="M70" s="50">
        <f t="shared" si="4"/>
        <v>0.60833333333333328</v>
      </c>
    </row>
    <row r="71" spans="1:13" ht="12" customHeight="1" x14ac:dyDescent="0.2">
      <c r="A71" s="19" t="s">
        <v>164</v>
      </c>
      <c r="B71" s="19">
        <f>G$22*E71</f>
        <v>8</v>
      </c>
      <c r="C71" s="19" t="e">
        <f t="shared" si="6"/>
        <v>#REF!</v>
      </c>
      <c r="D71" s="19" t="e">
        <f t="shared" si="7"/>
        <v>#REF!</v>
      </c>
      <c r="E71" s="83">
        <v>0.97333333333333327</v>
      </c>
      <c r="F71" s="36">
        <v>0</v>
      </c>
      <c r="G71" s="36">
        <v>1</v>
      </c>
      <c r="H71" s="37">
        <f t="shared" si="8"/>
        <v>29.2</v>
      </c>
      <c r="I71" s="68">
        <f t="shared" si="3"/>
        <v>8</v>
      </c>
      <c r="J71" s="47"/>
      <c r="K71" s="48"/>
      <c r="L71">
        <v>8</v>
      </c>
      <c r="M71" s="50">
        <f t="shared" si="4"/>
        <v>0.97333333333333327</v>
      </c>
    </row>
    <row r="72" spans="1:13" ht="12" customHeight="1" x14ac:dyDescent="0.2">
      <c r="A72" s="19" t="s">
        <v>165</v>
      </c>
      <c r="B72" s="85">
        <f>G$22*E72</f>
        <v>0.8</v>
      </c>
      <c r="C72" s="19" t="e">
        <f t="shared" si="6"/>
        <v>#REF!</v>
      </c>
      <c r="D72" s="19" t="e">
        <f t="shared" si="7"/>
        <v>#REF!</v>
      </c>
      <c r="E72" s="83">
        <v>9.7333333333333327E-2</v>
      </c>
      <c r="F72" s="36">
        <v>1</v>
      </c>
      <c r="G72" s="36">
        <v>0</v>
      </c>
      <c r="H72" s="37">
        <f t="shared" si="8"/>
        <v>2.92</v>
      </c>
      <c r="I72" s="68">
        <f t="shared" si="3"/>
        <v>0.8</v>
      </c>
      <c r="J72" s="47"/>
      <c r="K72" s="48"/>
      <c r="L72">
        <v>0.8</v>
      </c>
      <c r="M72" s="50">
        <f t="shared" si="4"/>
        <v>9.7333333333333327E-2</v>
      </c>
    </row>
    <row r="73" spans="1:13" ht="12" customHeight="1" x14ac:dyDescent="0.2">
      <c r="A73" s="7" t="s">
        <v>166</v>
      </c>
      <c r="B73" s="19">
        <f t="shared" si="5"/>
        <v>1.5</v>
      </c>
      <c r="C73" s="19" t="e">
        <f t="shared" si="6"/>
        <v>#REF!</v>
      </c>
      <c r="D73" s="19" t="e">
        <f t="shared" si="7"/>
        <v>#REF!</v>
      </c>
      <c r="E73" s="83">
        <v>0.18249999999999997</v>
      </c>
      <c r="F73" s="36">
        <v>0.48</v>
      </c>
      <c r="G73" s="36">
        <v>0.52</v>
      </c>
      <c r="H73" s="37">
        <f>B73*3.65</f>
        <v>5.4749999999999996</v>
      </c>
      <c r="I73" s="68">
        <f t="shared" si="3"/>
        <v>1.5</v>
      </c>
      <c r="J73" s="47"/>
      <c r="K73" s="48"/>
      <c r="L73">
        <v>1.5</v>
      </c>
      <c r="M73" s="50">
        <f t="shared" si="4"/>
        <v>0.18249999999999997</v>
      </c>
    </row>
    <row r="74" spans="1:13" ht="13.5" thickBot="1" x14ac:dyDescent="0.25">
      <c r="A74" s="9" t="s">
        <v>179</v>
      </c>
      <c r="B74" s="43">
        <f>G$22*E74</f>
        <v>2.5</v>
      </c>
      <c r="C74" s="43" t="e">
        <f>H$22*F74</f>
        <v>#REF!</v>
      </c>
      <c r="D74" s="43" t="e">
        <f t="shared" si="7"/>
        <v>#REF!</v>
      </c>
      <c r="E74" s="84">
        <v>0.30416666666666664</v>
      </c>
      <c r="F74" s="3">
        <v>0.3</v>
      </c>
      <c r="G74" s="3">
        <v>0.7</v>
      </c>
      <c r="H74" s="41">
        <f t="shared" si="8"/>
        <v>9.125</v>
      </c>
      <c r="I74" s="68">
        <f t="shared" si="3"/>
        <v>2.5</v>
      </c>
      <c r="J74" s="47"/>
      <c r="K74" s="48"/>
      <c r="L74">
        <v>2.5</v>
      </c>
      <c r="M74" s="50">
        <f t="shared" si="4"/>
        <v>0.30416666666666664</v>
      </c>
    </row>
    <row r="75" spans="1:13" x14ac:dyDescent="0.2">
      <c r="A75" s="7" t="s">
        <v>167</v>
      </c>
      <c r="B75" s="19">
        <f>G$23*E75</f>
        <v>0.8</v>
      </c>
      <c r="C75" s="19" t="e">
        <f t="shared" ref="C75:D87" si="9">H$23*F75</f>
        <v>#REF!</v>
      </c>
      <c r="D75" s="19" t="e">
        <f>I$23*G75</f>
        <v>#REF!</v>
      </c>
      <c r="E75" s="82">
        <v>0.11680000000000001</v>
      </c>
      <c r="F75" s="38">
        <v>1</v>
      </c>
      <c r="G75" s="38">
        <v>0</v>
      </c>
      <c r="H75" s="37">
        <f>B75*3.65</f>
        <v>2.92</v>
      </c>
      <c r="I75" s="68">
        <f t="shared" si="3"/>
        <v>0.8</v>
      </c>
      <c r="J75" s="47"/>
      <c r="K75" s="47"/>
      <c r="L75">
        <v>0.8</v>
      </c>
      <c r="M75" s="50">
        <f>L75/$G$23</f>
        <v>0.11680000000000001</v>
      </c>
    </row>
    <row r="76" spans="1:13" x14ac:dyDescent="0.2">
      <c r="A76" s="7" t="s">
        <v>168</v>
      </c>
      <c r="B76" s="19">
        <f t="shared" ref="B76:B87" si="10">G$23*E76</f>
        <v>1.2</v>
      </c>
      <c r="C76" s="19" t="e">
        <f t="shared" si="9"/>
        <v>#REF!</v>
      </c>
      <c r="D76" s="19" t="e">
        <f t="shared" si="9"/>
        <v>#REF!</v>
      </c>
      <c r="E76" s="83">
        <v>0.17519999999999999</v>
      </c>
      <c r="F76" s="36">
        <v>0.81</v>
      </c>
      <c r="G76" s="36">
        <v>0.19</v>
      </c>
      <c r="H76" s="37">
        <f t="shared" ref="H76:H98" si="11">B76*3.65</f>
        <v>4.38</v>
      </c>
      <c r="I76" s="68">
        <f t="shared" si="3"/>
        <v>1.2</v>
      </c>
      <c r="J76" s="47"/>
      <c r="K76" s="47"/>
      <c r="L76">
        <v>1.2</v>
      </c>
      <c r="M76" s="50">
        <f t="shared" ref="M76:M87" si="12">L76/$G$23</f>
        <v>0.17519999999999999</v>
      </c>
    </row>
    <row r="77" spans="1:13" x14ac:dyDescent="0.2">
      <c r="A77" s="7" t="s">
        <v>169</v>
      </c>
      <c r="B77" s="19">
        <f t="shared" si="10"/>
        <v>1.2</v>
      </c>
      <c r="C77" s="19" t="e">
        <f t="shared" si="9"/>
        <v>#REF!</v>
      </c>
      <c r="D77" s="19" t="e">
        <f t="shared" si="9"/>
        <v>#REF!</v>
      </c>
      <c r="E77" s="83">
        <v>0.17519999999999999</v>
      </c>
      <c r="F77" s="36">
        <v>0.62</v>
      </c>
      <c r="G77" s="36">
        <v>0.38</v>
      </c>
      <c r="H77" s="37">
        <f t="shared" si="11"/>
        <v>4.38</v>
      </c>
      <c r="I77" s="68">
        <f t="shared" si="3"/>
        <v>1.2</v>
      </c>
      <c r="J77" s="47"/>
      <c r="K77" s="47"/>
      <c r="L77">
        <v>1.2</v>
      </c>
      <c r="M77" s="50">
        <f t="shared" si="12"/>
        <v>0.17519999999999999</v>
      </c>
    </row>
    <row r="78" spans="1:13" x14ac:dyDescent="0.2">
      <c r="A78" s="7" t="s">
        <v>170</v>
      </c>
      <c r="B78" s="19">
        <f t="shared" si="10"/>
        <v>1.2</v>
      </c>
      <c r="C78" s="19" t="e">
        <f t="shared" si="9"/>
        <v>#REF!</v>
      </c>
      <c r="D78" s="19" t="e">
        <f t="shared" si="9"/>
        <v>#REF!</v>
      </c>
      <c r="E78" s="83">
        <v>0.17519999999999999</v>
      </c>
      <c r="F78" s="36">
        <v>0.67</v>
      </c>
      <c r="G78" s="36">
        <v>0.33</v>
      </c>
      <c r="H78" s="37">
        <f t="shared" si="11"/>
        <v>4.38</v>
      </c>
      <c r="I78" s="68">
        <f t="shared" si="3"/>
        <v>1.2</v>
      </c>
      <c r="J78" s="47"/>
      <c r="K78" s="47"/>
      <c r="L78">
        <v>1.2</v>
      </c>
      <c r="M78" s="50">
        <f t="shared" si="12"/>
        <v>0.17519999999999999</v>
      </c>
    </row>
    <row r="79" spans="1:13" x14ac:dyDescent="0.2">
      <c r="A79" s="7" t="s">
        <v>171</v>
      </c>
      <c r="B79" s="19">
        <f t="shared" si="10"/>
        <v>1.4</v>
      </c>
      <c r="C79" s="19" t="e">
        <f t="shared" si="9"/>
        <v>#REF!</v>
      </c>
      <c r="D79" s="19" t="e">
        <f t="shared" si="9"/>
        <v>#REF!</v>
      </c>
      <c r="E79" s="83">
        <v>0.2044</v>
      </c>
      <c r="F79" s="36">
        <v>0.48</v>
      </c>
      <c r="G79" s="36">
        <v>0.52</v>
      </c>
      <c r="H79" s="37">
        <f t="shared" si="11"/>
        <v>5.1099999999999994</v>
      </c>
      <c r="I79" s="68">
        <f t="shared" si="3"/>
        <v>1.4</v>
      </c>
      <c r="J79" s="47"/>
      <c r="K79" s="47"/>
      <c r="L79">
        <v>1.4</v>
      </c>
      <c r="M79" s="50">
        <f t="shared" si="12"/>
        <v>0.2044</v>
      </c>
    </row>
    <row r="80" spans="1:13" x14ac:dyDescent="0.2">
      <c r="A80" s="7" t="s">
        <v>172</v>
      </c>
      <c r="B80" s="19">
        <f t="shared" si="10"/>
        <v>1.8000000000000003</v>
      </c>
      <c r="C80" s="19" t="e">
        <f t="shared" si="9"/>
        <v>#REF!</v>
      </c>
      <c r="D80" s="19" t="e">
        <f t="shared" si="9"/>
        <v>#REF!</v>
      </c>
      <c r="E80" s="83">
        <v>0.26280000000000003</v>
      </c>
      <c r="F80" s="36">
        <v>0.3</v>
      </c>
      <c r="G80" s="36">
        <v>0.7</v>
      </c>
      <c r="H80" s="37">
        <f t="shared" si="11"/>
        <v>6.5700000000000012</v>
      </c>
      <c r="I80" s="68">
        <f t="shared" si="3"/>
        <v>1.8000000000000003</v>
      </c>
      <c r="J80" s="47"/>
      <c r="K80" s="47"/>
      <c r="L80">
        <v>1.8</v>
      </c>
      <c r="M80" s="50">
        <f t="shared" si="12"/>
        <v>0.26280000000000003</v>
      </c>
    </row>
    <row r="81" spans="1:13" x14ac:dyDescent="0.2">
      <c r="A81" s="7" t="s">
        <v>173</v>
      </c>
      <c r="B81" s="19">
        <f t="shared" si="10"/>
        <v>3.8</v>
      </c>
      <c r="C81" s="19" t="e">
        <f t="shared" si="9"/>
        <v>#REF!</v>
      </c>
      <c r="D81" s="19" t="e">
        <f t="shared" si="9"/>
        <v>#REF!</v>
      </c>
      <c r="E81" s="83">
        <v>0.55479999999999996</v>
      </c>
      <c r="F81" s="36">
        <v>0.5</v>
      </c>
      <c r="G81" s="36">
        <v>0.5</v>
      </c>
      <c r="H81" s="37">
        <f t="shared" si="11"/>
        <v>13.87</v>
      </c>
      <c r="I81" s="68">
        <f t="shared" si="3"/>
        <v>3.8</v>
      </c>
      <c r="J81" s="47"/>
      <c r="K81" s="47"/>
      <c r="L81">
        <v>3.8</v>
      </c>
      <c r="M81" s="50">
        <f t="shared" si="12"/>
        <v>0.55479999999999996</v>
      </c>
    </row>
    <row r="82" spans="1:13" x14ac:dyDescent="0.2">
      <c r="A82" s="7" t="s">
        <v>174</v>
      </c>
      <c r="B82" s="19">
        <f t="shared" si="10"/>
        <v>4.8</v>
      </c>
      <c r="C82" s="19" t="e">
        <f t="shared" si="9"/>
        <v>#REF!</v>
      </c>
      <c r="D82" s="19" t="e">
        <f t="shared" si="9"/>
        <v>#REF!</v>
      </c>
      <c r="E82" s="83">
        <v>0.70079999999999998</v>
      </c>
      <c r="F82" s="36">
        <v>0.3</v>
      </c>
      <c r="G82" s="36">
        <v>0.7</v>
      </c>
      <c r="H82" s="37">
        <f t="shared" si="11"/>
        <v>17.52</v>
      </c>
      <c r="I82" s="68">
        <f t="shared" si="3"/>
        <v>4.8</v>
      </c>
      <c r="J82" s="47"/>
      <c r="K82" s="47"/>
      <c r="L82">
        <v>4.8</v>
      </c>
      <c r="M82" s="50">
        <f t="shared" si="12"/>
        <v>0.70079999999999998</v>
      </c>
    </row>
    <row r="83" spans="1:13" x14ac:dyDescent="0.2">
      <c r="A83" s="7" t="s">
        <v>175</v>
      </c>
      <c r="B83" s="19">
        <f t="shared" si="10"/>
        <v>4.8</v>
      </c>
      <c r="C83" s="19" t="e">
        <f t="shared" si="9"/>
        <v>#REF!</v>
      </c>
      <c r="D83" s="19" t="e">
        <f t="shared" si="9"/>
        <v>#REF!</v>
      </c>
      <c r="E83" s="83">
        <v>0.70079999999999998</v>
      </c>
      <c r="F83" s="36">
        <v>0.25</v>
      </c>
      <c r="G83" s="36">
        <v>0.75</v>
      </c>
      <c r="H83" s="37">
        <f t="shared" si="11"/>
        <v>17.52</v>
      </c>
      <c r="I83" s="68">
        <f t="shared" si="3"/>
        <v>4.8</v>
      </c>
      <c r="J83" s="47"/>
      <c r="K83" s="47"/>
      <c r="L83">
        <v>4.8</v>
      </c>
      <c r="M83" s="50">
        <f t="shared" si="12"/>
        <v>0.70079999999999998</v>
      </c>
    </row>
    <row r="84" spans="1:13" x14ac:dyDescent="0.2">
      <c r="A84" s="7" t="s">
        <v>176</v>
      </c>
      <c r="B84" s="19">
        <f t="shared" si="10"/>
        <v>6.5</v>
      </c>
      <c r="C84" s="19" t="e">
        <f t="shared" si="9"/>
        <v>#REF!</v>
      </c>
      <c r="D84" s="19" t="e">
        <f t="shared" si="9"/>
        <v>#REF!</v>
      </c>
      <c r="E84" s="83">
        <v>0.94900000000000007</v>
      </c>
      <c r="F84" s="36">
        <v>0</v>
      </c>
      <c r="G84" s="36">
        <v>1</v>
      </c>
      <c r="H84" s="37">
        <f t="shared" si="11"/>
        <v>23.724999999999998</v>
      </c>
      <c r="I84" s="68">
        <f t="shared" si="3"/>
        <v>6.5</v>
      </c>
      <c r="J84" s="47"/>
      <c r="K84" s="47"/>
      <c r="L84">
        <v>6.5</v>
      </c>
      <c r="M84" s="50">
        <f t="shared" si="12"/>
        <v>0.94900000000000007</v>
      </c>
    </row>
    <row r="85" spans="1:13" x14ac:dyDescent="0.2">
      <c r="A85" s="7" t="s">
        <v>177</v>
      </c>
      <c r="B85" s="19">
        <f t="shared" si="10"/>
        <v>0.8</v>
      </c>
      <c r="C85" s="19" t="e">
        <f t="shared" si="9"/>
        <v>#REF!</v>
      </c>
      <c r="D85" s="19" t="e">
        <f t="shared" si="9"/>
        <v>#REF!</v>
      </c>
      <c r="E85" s="83">
        <v>0.11680000000000001</v>
      </c>
      <c r="F85" s="36">
        <v>1</v>
      </c>
      <c r="G85" s="36">
        <v>0</v>
      </c>
      <c r="H85" s="37">
        <f t="shared" si="11"/>
        <v>2.92</v>
      </c>
      <c r="I85" s="68">
        <f t="shared" si="3"/>
        <v>0.8</v>
      </c>
      <c r="J85" s="47"/>
      <c r="K85" s="47"/>
      <c r="L85">
        <v>0.8</v>
      </c>
      <c r="M85" s="50">
        <f t="shared" si="12"/>
        <v>0.11680000000000001</v>
      </c>
    </row>
    <row r="86" spans="1:13" x14ac:dyDescent="0.2">
      <c r="A86" s="7" t="s">
        <v>178</v>
      </c>
      <c r="B86" s="19">
        <f t="shared" si="10"/>
        <v>1.4</v>
      </c>
      <c r="C86" s="19" t="e">
        <f t="shared" si="9"/>
        <v>#REF!</v>
      </c>
      <c r="D86" s="19" t="e">
        <f t="shared" si="9"/>
        <v>#REF!</v>
      </c>
      <c r="E86" s="83">
        <v>0.2044</v>
      </c>
      <c r="F86" s="36">
        <v>0.48</v>
      </c>
      <c r="G86" s="36">
        <v>0.52</v>
      </c>
      <c r="H86" s="37">
        <f t="shared" si="11"/>
        <v>5.1099999999999994</v>
      </c>
      <c r="I86" s="68">
        <f t="shared" si="3"/>
        <v>1.4</v>
      </c>
      <c r="J86" s="47"/>
      <c r="K86" s="47"/>
      <c r="L86">
        <v>1.4</v>
      </c>
      <c r="M86" s="50">
        <f t="shared" si="12"/>
        <v>0.2044</v>
      </c>
    </row>
    <row r="87" spans="1:13" ht="13.5" thickBot="1" x14ac:dyDescent="0.25">
      <c r="A87" s="9" t="s">
        <v>180</v>
      </c>
      <c r="B87" s="43">
        <f t="shared" si="10"/>
        <v>2.2999999999999998</v>
      </c>
      <c r="C87" s="43" t="e">
        <f t="shared" si="9"/>
        <v>#REF!</v>
      </c>
      <c r="D87" s="43" t="e">
        <f t="shared" si="9"/>
        <v>#REF!</v>
      </c>
      <c r="E87" s="84">
        <v>0.33579999999999999</v>
      </c>
      <c r="F87" s="3">
        <v>0.3</v>
      </c>
      <c r="G87" s="3">
        <v>0.7</v>
      </c>
      <c r="H87" s="41">
        <f t="shared" si="11"/>
        <v>8.3949999999999996</v>
      </c>
      <c r="I87" s="68">
        <f t="shared" si="3"/>
        <v>2.2999999999999998</v>
      </c>
      <c r="J87" s="47"/>
      <c r="K87" s="47"/>
      <c r="L87">
        <v>2.2999999999999998</v>
      </c>
      <c r="M87" s="50">
        <f t="shared" si="12"/>
        <v>0.33579999999999999</v>
      </c>
    </row>
    <row r="88" spans="1:13" x14ac:dyDescent="0.2">
      <c r="A88" s="7" t="s">
        <v>185</v>
      </c>
      <c r="B88" s="19">
        <f>G$24*E88</f>
        <v>0.10400000000000001</v>
      </c>
      <c r="C88" s="19">
        <f>H$24*F88</f>
        <v>3.8</v>
      </c>
      <c r="D88" s="19">
        <f>I$24*G88</f>
        <v>0</v>
      </c>
      <c r="E88" s="82">
        <v>8.3949999999999997E-2</v>
      </c>
      <c r="F88" s="38">
        <v>1</v>
      </c>
      <c r="G88" s="38">
        <v>0</v>
      </c>
      <c r="H88" s="37">
        <f>B88*3.65</f>
        <v>0.37960000000000005</v>
      </c>
      <c r="I88" s="68">
        <f>B88/0.13</f>
        <v>0.8</v>
      </c>
      <c r="L88">
        <v>0.8</v>
      </c>
      <c r="M88" s="50">
        <f>(L88*C$24)/G$24</f>
        <v>8.3949999999999997E-2</v>
      </c>
    </row>
    <row r="89" spans="1:13" x14ac:dyDescent="0.2">
      <c r="A89" s="7" t="s">
        <v>186</v>
      </c>
      <c r="B89" s="19">
        <f>G$24*E89</f>
        <v>0.156</v>
      </c>
      <c r="C89" s="19">
        <f t="shared" ref="C89:C97" si="13">H$24*F89</f>
        <v>3.0779999999999998</v>
      </c>
      <c r="D89" s="19">
        <f t="shared" ref="D89:D97" si="14">I$24*G89</f>
        <v>0.68400000000000005</v>
      </c>
      <c r="E89" s="83">
        <v>0.12592499999999998</v>
      </c>
      <c r="F89" s="36">
        <v>0.81</v>
      </c>
      <c r="G89" s="36">
        <v>0.19</v>
      </c>
      <c r="H89" s="37">
        <f t="shared" si="11"/>
        <v>0.56940000000000002</v>
      </c>
      <c r="I89" s="68">
        <f t="shared" ref="I89:I96" si="15">B89/0.13</f>
        <v>1.2</v>
      </c>
      <c r="L89">
        <v>1.2</v>
      </c>
      <c r="M89" s="50">
        <f>(L89*C$24)/G$24</f>
        <v>0.12592499999999998</v>
      </c>
    </row>
    <row r="90" spans="1:13" x14ac:dyDescent="0.2">
      <c r="A90" s="7" t="s">
        <v>187</v>
      </c>
      <c r="B90" s="19">
        <f t="shared" ref="B90:B97" si="16">G$24*E90</f>
        <v>0.156</v>
      </c>
      <c r="C90" s="19">
        <f t="shared" si="13"/>
        <v>2.3559999999999999</v>
      </c>
      <c r="D90" s="19">
        <f t="shared" si="14"/>
        <v>1.3680000000000001</v>
      </c>
      <c r="E90" s="83">
        <v>0.12592499999999998</v>
      </c>
      <c r="F90" s="36">
        <v>0.62</v>
      </c>
      <c r="G90" s="36">
        <v>0.38</v>
      </c>
      <c r="H90" s="37">
        <f t="shared" si="11"/>
        <v>0.56940000000000002</v>
      </c>
      <c r="I90" s="68">
        <f t="shared" si="15"/>
        <v>1.2</v>
      </c>
      <c r="L90">
        <v>1.2</v>
      </c>
      <c r="M90" s="50">
        <f t="shared" ref="M90:M97" si="17">(L90*C$24)/G$24</f>
        <v>0.12592499999999998</v>
      </c>
    </row>
    <row r="91" spans="1:13" x14ac:dyDescent="0.2">
      <c r="A91" s="7" t="s">
        <v>188</v>
      </c>
      <c r="B91" s="19">
        <f t="shared" si="16"/>
        <v>0.156</v>
      </c>
      <c r="C91" s="19">
        <f t="shared" si="13"/>
        <v>2.5459999999999998</v>
      </c>
      <c r="D91" s="19">
        <f t="shared" si="14"/>
        <v>1.1880000000000002</v>
      </c>
      <c r="E91" s="83">
        <v>0.12592499999999998</v>
      </c>
      <c r="F91" s="36">
        <v>0.67</v>
      </c>
      <c r="G91" s="36">
        <v>0.33</v>
      </c>
      <c r="H91" s="37">
        <f t="shared" si="11"/>
        <v>0.56940000000000002</v>
      </c>
      <c r="I91" s="68">
        <f t="shared" si="15"/>
        <v>1.2</v>
      </c>
      <c r="L91">
        <v>1.2</v>
      </c>
      <c r="M91" s="50">
        <f t="shared" si="17"/>
        <v>0.12592499999999998</v>
      </c>
    </row>
    <row r="92" spans="1:13" x14ac:dyDescent="0.2">
      <c r="A92" s="7" t="s">
        <v>189</v>
      </c>
      <c r="B92" s="19">
        <f t="shared" si="16"/>
        <v>0.182</v>
      </c>
      <c r="C92" s="19">
        <f t="shared" si="13"/>
        <v>1.8239999999999998</v>
      </c>
      <c r="D92" s="19">
        <f t="shared" si="14"/>
        <v>1.8720000000000001</v>
      </c>
      <c r="E92" s="83">
        <v>0.14691249999999997</v>
      </c>
      <c r="F92" s="36">
        <v>0.48</v>
      </c>
      <c r="G92" s="36">
        <v>0.52</v>
      </c>
      <c r="H92" s="37">
        <f t="shared" si="11"/>
        <v>0.6643</v>
      </c>
      <c r="I92" s="68">
        <f t="shared" si="15"/>
        <v>1.4</v>
      </c>
      <c r="L92">
        <v>1.4</v>
      </c>
      <c r="M92" s="50">
        <f t="shared" si="17"/>
        <v>0.14691249999999997</v>
      </c>
    </row>
    <row r="93" spans="1:13" x14ac:dyDescent="0.2">
      <c r="A93" s="7" t="s">
        <v>190</v>
      </c>
      <c r="B93" s="19">
        <f t="shared" si="16"/>
        <v>0.23400000000000001</v>
      </c>
      <c r="C93" s="19">
        <f t="shared" si="13"/>
        <v>1.1399999999999999</v>
      </c>
      <c r="D93" s="19">
        <f t="shared" si="14"/>
        <v>2.52</v>
      </c>
      <c r="E93" s="83">
        <v>0.18888749999999999</v>
      </c>
      <c r="F93" s="36">
        <v>0.3</v>
      </c>
      <c r="G93" s="36">
        <v>0.7</v>
      </c>
      <c r="H93" s="37">
        <f t="shared" si="11"/>
        <v>0.85410000000000008</v>
      </c>
      <c r="I93" s="68">
        <f t="shared" si="15"/>
        <v>1.8</v>
      </c>
      <c r="L93">
        <v>1.8</v>
      </c>
      <c r="M93" s="50">
        <f t="shared" si="17"/>
        <v>0.18888749999999999</v>
      </c>
    </row>
    <row r="94" spans="1:13" x14ac:dyDescent="0.2">
      <c r="A94" s="7" t="s">
        <v>191</v>
      </c>
      <c r="B94" s="19">
        <f t="shared" si="16"/>
        <v>0.49399999999999999</v>
      </c>
      <c r="C94" s="19">
        <f t="shared" si="13"/>
        <v>1.9</v>
      </c>
      <c r="D94" s="19">
        <f t="shared" si="14"/>
        <v>1.8</v>
      </c>
      <c r="E94" s="83">
        <v>0.39876249999999996</v>
      </c>
      <c r="F94" s="36">
        <v>0.5</v>
      </c>
      <c r="G94" s="36">
        <v>0.5</v>
      </c>
      <c r="H94" s="37">
        <f t="shared" si="11"/>
        <v>1.8030999999999999</v>
      </c>
      <c r="I94" s="68">
        <f t="shared" si="15"/>
        <v>3.8</v>
      </c>
      <c r="L94">
        <v>3.8</v>
      </c>
      <c r="M94" s="50">
        <f t="shared" si="17"/>
        <v>0.39876249999999996</v>
      </c>
    </row>
    <row r="95" spans="1:13" x14ac:dyDescent="0.2">
      <c r="A95" s="7" t="s">
        <v>192</v>
      </c>
      <c r="B95" s="19">
        <f t="shared" si="16"/>
        <v>0.624</v>
      </c>
      <c r="C95" s="19">
        <f t="shared" si="13"/>
        <v>1.1399999999999999</v>
      </c>
      <c r="D95" s="19">
        <f t="shared" si="14"/>
        <v>2.52</v>
      </c>
      <c r="E95" s="83">
        <v>0.50369999999999993</v>
      </c>
      <c r="F95" s="36">
        <v>0.3</v>
      </c>
      <c r="G95" s="36">
        <v>0.7</v>
      </c>
      <c r="H95" s="37">
        <f t="shared" si="11"/>
        <v>2.2776000000000001</v>
      </c>
      <c r="I95" s="68">
        <f t="shared" si="15"/>
        <v>4.8</v>
      </c>
      <c r="L95">
        <v>4.8</v>
      </c>
      <c r="M95" s="50">
        <f t="shared" si="17"/>
        <v>0.50369999999999993</v>
      </c>
    </row>
    <row r="96" spans="1:13" x14ac:dyDescent="0.2">
      <c r="A96" s="7" t="s">
        <v>193</v>
      </c>
      <c r="B96" s="19">
        <f t="shared" si="16"/>
        <v>0.624</v>
      </c>
      <c r="C96" s="19">
        <f t="shared" si="13"/>
        <v>0.95</v>
      </c>
      <c r="D96" s="19">
        <f t="shared" si="14"/>
        <v>2.7</v>
      </c>
      <c r="E96" s="83">
        <v>0.50369999999999993</v>
      </c>
      <c r="F96" s="36">
        <v>0.25</v>
      </c>
      <c r="G96" s="36">
        <v>0.75</v>
      </c>
      <c r="H96" s="37">
        <f t="shared" si="11"/>
        <v>2.2776000000000001</v>
      </c>
      <c r="I96" s="68">
        <f t="shared" si="15"/>
        <v>4.8</v>
      </c>
      <c r="L96">
        <v>4.8</v>
      </c>
      <c r="M96" s="50">
        <f t="shared" si="17"/>
        <v>0.50369999999999993</v>
      </c>
    </row>
    <row r="97" spans="1:13" ht="13.5" thickBot="1" x14ac:dyDescent="0.25">
      <c r="A97" s="7" t="s">
        <v>194</v>
      </c>
      <c r="B97" s="19">
        <f t="shared" si="16"/>
        <v>0.84499999999999997</v>
      </c>
      <c r="C97" s="19">
        <f t="shared" si="13"/>
        <v>0</v>
      </c>
      <c r="D97" s="19">
        <f t="shared" si="14"/>
        <v>3.6</v>
      </c>
      <c r="E97" s="83">
        <v>0.68209374999999994</v>
      </c>
      <c r="F97" s="3">
        <v>0</v>
      </c>
      <c r="G97" s="3">
        <v>1</v>
      </c>
      <c r="H97" s="37">
        <f t="shared" si="11"/>
        <v>3.0842499999999999</v>
      </c>
      <c r="I97" s="68">
        <f>B97/0.13</f>
        <v>6.5</v>
      </c>
      <c r="L97">
        <v>6.5</v>
      </c>
      <c r="M97" s="50">
        <f t="shared" si="17"/>
        <v>0.68209374999999994</v>
      </c>
    </row>
    <row r="98" spans="1:13" x14ac:dyDescent="0.2">
      <c r="A98" s="4" t="s">
        <v>334</v>
      </c>
      <c r="B98" s="24">
        <f>G$25*E98</f>
        <v>0.41321739130434781</v>
      </c>
      <c r="C98" s="24">
        <f t="shared" ref="C98" si="18">H$25*F98</f>
        <v>5.7</v>
      </c>
      <c r="D98" s="24">
        <f>I$25*G98</f>
        <v>0</v>
      </c>
      <c r="E98" s="82">
        <v>0.13139999999999999</v>
      </c>
      <c r="F98" s="36">
        <v>1</v>
      </c>
      <c r="G98" s="36">
        <v>0</v>
      </c>
      <c r="H98" s="39">
        <f t="shared" si="11"/>
        <v>1.5082434782608696</v>
      </c>
      <c r="I98" s="68">
        <f>B98/0.33</f>
        <v>1.2521739130434781</v>
      </c>
      <c r="L98">
        <v>0.8</v>
      </c>
      <c r="M98" s="50">
        <f>(L98*C$25)/G$25</f>
        <v>8.3949999999999997E-2</v>
      </c>
    </row>
    <row r="99" spans="1:13" x14ac:dyDescent="0.2">
      <c r="A99" s="7" t="s">
        <v>335</v>
      </c>
      <c r="B99" s="19">
        <f>G$25*E99</f>
        <v>0.41321739130434781</v>
      </c>
      <c r="C99" s="19">
        <f t="shared" ref="C99:C105" si="19">H$25*F99</f>
        <v>4.6170000000000009</v>
      </c>
      <c r="D99" s="19">
        <f t="shared" ref="D99:D105" si="20">I$25*G99</f>
        <v>1.0449999999999999</v>
      </c>
      <c r="E99" s="83">
        <v>0.13139999999999999</v>
      </c>
      <c r="F99" s="36">
        <v>0.81</v>
      </c>
      <c r="G99" s="36">
        <v>0.19</v>
      </c>
      <c r="H99" s="37">
        <f t="shared" ref="H99:H106" si="21">B99*3.65</f>
        <v>1.5082434782608696</v>
      </c>
      <c r="I99" s="68">
        <f t="shared" ref="I99:I110" si="22">B99/0.33</f>
        <v>1.2521739130434781</v>
      </c>
      <c r="L99">
        <v>1.2</v>
      </c>
      <c r="M99" s="50">
        <f t="shared" ref="M99:M105" si="23">(L99*C$25)/G$25</f>
        <v>0.12592499999999998</v>
      </c>
    </row>
    <row r="100" spans="1:13" x14ac:dyDescent="0.2">
      <c r="A100" s="7" t="s">
        <v>336</v>
      </c>
      <c r="B100" s="19">
        <f t="shared" ref="B100:B106" si="24">G$25*E100</f>
        <v>0.41321739130434781</v>
      </c>
      <c r="C100" s="19">
        <f t="shared" si="19"/>
        <v>3.5340000000000003</v>
      </c>
      <c r="D100" s="19">
        <f t="shared" si="20"/>
        <v>2.09</v>
      </c>
      <c r="E100" s="83">
        <v>0.13139999999999999</v>
      </c>
      <c r="F100" s="36">
        <v>0.62</v>
      </c>
      <c r="G100" s="36">
        <v>0.38</v>
      </c>
      <c r="H100" s="37">
        <f t="shared" si="21"/>
        <v>1.5082434782608696</v>
      </c>
      <c r="I100" s="68">
        <f t="shared" si="22"/>
        <v>1.2521739130434781</v>
      </c>
      <c r="L100">
        <v>1.2</v>
      </c>
      <c r="M100" s="50">
        <f t="shared" si="23"/>
        <v>0.12592499999999998</v>
      </c>
    </row>
    <row r="101" spans="1:13" x14ac:dyDescent="0.2">
      <c r="A101" s="7" t="s">
        <v>337</v>
      </c>
      <c r="B101" s="19">
        <f t="shared" si="24"/>
        <v>0.41321739130434781</v>
      </c>
      <c r="C101" s="19">
        <f t="shared" si="19"/>
        <v>3.8190000000000004</v>
      </c>
      <c r="D101" s="19">
        <f t="shared" si="20"/>
        <v>1.8150000000000002</v>
      </c>
      <c r="E101" s="83">
        <v>0.13139999999999999</v>
      </c>
      <c r="F101" s="36">
        <v>0.67</v>
      </c>
      <c r="G101" s="36">
        <v>0.33</v>
      </c>
      <c r="H101" s="37">
        <f t="shared" si="21"/>
        <v>1.5082434782608696</v>
      </c>
      <c r="I101" s="68">
        <f t="shared" si="22"/>
        <v>1.2521739130434781</v>
      </c>
      <c r="L101">
        <v>1.2</v>
      </c>
      <c r="M101" s="50">
        <f t="shared" si="23"/>
        <v>0.12592499999999998</v>
      </c>
    </row>
    <row r="102" spans="1:13" x14ac:dyDescent="0.2">
      <c r="A102" s="7" t="s">
        <v>338</v>
      </c>
      <c r="B102" s="19">
        <f t="shared" si="24"/>
        <v>0.48208695652173916</v>
      </c>
      <c r="C102" s="19">
        <f t="shared" si="19"/>
        <v>2.7359999999999998</v>
      </c>
      <c r="D102" s="19">
        <f t="shared" si="20"/>
        <v>2.8600000000000003</v>
      </c>
      <c r="E102" s="83">
        <v>0.15329999999999999</v>
      </c>
      <c r="F102" s="36">
        <v>0.48</v>
      </c>
      <c r="G102" s="36">
        <v>0.52</v>
      </c>
      <c r="H102" s="37">
        <f t="shared" si="21"/>
        <v>1.7596173913043478</v>
      </c>
      <c r="I102" s="68">
        <f t="shared" si="22"/>
        <v>1.4608695652173913</v>
      </c>
      <c r="L102">
        <v>1.4</v>
      </c>
      <c r="M102" s="50">
        <f t="shared" si="23"/>
        <v>0.14691249999999997</v>
      </c>
    </row>
    <row r="103" spans="1:13" x14ac:dyDescent="0.2">
      <c r="A103" s="7" t="s">
        <v>339</v>
      </c>
      <c r="B103" s="19">
        <f t="shared" si="24"/>
        <v>0.61982608695652175</v>
      </c>
      <c r="C103" s="19">
        <f t="shared" si="19"/>
        <v>1.71</v>
      </c>
      <c r="D103" s="19">
        <f t="shared" si="20"/>
        <v>3.8499999999999996</v>
      </c>
      <c r="E103" s="83">
        <v>0.1971</v>
      </c>
      <c r="F103" s="36">
        <v>0.3</v>
      </c>
      <c r="G103" s="36">
        <v>0.7</v>
      </c>
      <c r="H103" s="37">
        <f t="shared" si="21"/>
        <v>2.2623652173913045</v>
      </c>
      <c r="I103" s="68">
        <f t="shared" si="22"/>
        <v>1.8782608695652174</v>
      </c>
      <c r="L103">
        <v>1.8</v>
      </c>
      <c r="M103" s="50">
        <f t="shared" si="23"/>
        <v>0.18888750000000001</v>
      </c>
    </row>
    <row r="104" spans="1:13" x14ac:dyDescent="0.2">
      <c r="A104" s="7" t="s">
        <v>340</v>
      </c>
      <c r="B104" s="19">
        <f t="shared" si="24"/>
        <v>1.3085217391304349</v>
      </c>
      <c r="C104" s="19">
        <f t="shared" si="19"/>
        <v>2.85</v>
      </c>
      <c r="D104" s="19">
        <f t="shared" si="20"/>
        <v>2.75</v>
      </c>
      <c r="E104" s="83">
        <v>0.41609999999999997</v>
      </c>
      <c r="F104" s="36">
        <v>0.5</v>
      </c>
      <c r="G104" s="36">
        <v>0.5</v>
      </c>
      <c r="H104" s="37">
        <f t="shared" si="21"/>
        <v>4.7761043478260872</v>
      </c>
      <c r="I104" s="68">
        <f t="shared" si="22"/>
        <v>3.965217391304348</v>
      </c>
      <c r="L104">
        <v>3.8</v>
      </c>
      <c r="M104" s="50">
        <f t="shared" si="23"/>
        <v>0.39876249999999996</v>
      </c>
    </row>
    <row r="105" spans="1:13" x14ac:dyDescent="0.2">
      <c r="A105" s="7" t="s">
        <v>341</v>
      </c>
      <c r="B105" s="19">
        <f t="shared" si="24"/>
        <v>1.6528695652173913</v>
      </c>
      <c r="C105" s="19">
        <f t="shared" si="19"/>
        <v>1.71</v>
      </c>
      <c r="D105" s="19">
        <f t="shared" si="20"/>
        <v>3.8499999999999996</v>
      </c>
      <c r="E105" s="83">
        <v>0.52559999999999996</v>
      </c>
      <c r="F105" s="36">
        <v>0.3</v>
      </c>
      <c r="G105" s="36">
        <v>0.7</v>
      </c>
      <c r="H105" s="37">
        <f t="shared" si="21"/>
        <v>6.0329739130434783</v>
      </c>
      <c r="I105" s="68">
        <f t="shared" si="22"/>
        <v>5.0086956521739125</v>
      </c>
      <c r="L105">
        <v>4.8</v>
      </c>
      <c r="M105" s="50">
        <f t="shared" si="23"/>
        <v>0.50369999999999993</v>
      </c>
    </row>
    <row r="106" spans="1:13" x14ac:dyDescent="0.2">
      <c r="A106" s="7" t="s">
        <v>342</v>
      </c>
      <c r="B106" s="19">
        <f t="shared" si="24"/>
        <v>1.6528695652173913</v>
      </c>
      <c r="C106" s="19">
        <f>H$25*F106</f>
        <v>1.425</v>
      </c>
      <c r="D106" s="19">
        <f>I$25*G106</f>
        <v>4.125</v>
      </c>
      <c r="E106" s="83">
        <v>0.52559999999999996</v>
      </c>
      <c r="F106" s="36">
        <v>0.25</v>
      </c>
      <c r="G106" s="36">
        <v>0.75</v>
      </c>
      <c r="H106" s="37">
        <f t="shared" si="21"/>
        <v>6.0329739130434783</v>
      </c>
      <c r="I106" s="68">
        <f>B106/0.33</f>
        <v>5.0086956521739125</v>
      </c>
      <c r="L106">
        <v>4.8</v>
      </c>
      <c r="M106" s="50">
        <f>(L106*C$25)/G$25</f>
        <v>0.50369999999999993</v>
      </c>
    </row>
    <row r="107" spans="1:13" x14ac:dyDescent="0.2">
      <c r="A107" s="7" t="s">
        <v>343</v>
      </c>
      <c r="B107" s="19">
        <f t="shared" ref="B107:B110" si="25">G$25*E107</f>
        <v>2.4869565217391303</v>
      </c>
      <c r="C107" s="19">
        <f t="shared" ref="C107:C110" si="26">H$25*F107</f>
        <v>0</v>
      </c>
      <c r="D107" s="19">
        <f t="shared" ref="D107:D110" si="27">I$25*G107</f>
        <v>5.5</v>
      </c>
      <c r="E107" s="83">
        <v>0.79083333333333328</v>
      </c>
      <c r="F107" s="36">
        <v>0</v>
      </c>
      <c r="G107" s="36">
        <v>1</v>
      </c>
      <c r="H107" s="37">
        <f t="shared" ref="H107:H110" si="28">B107*3.65</f>
        <v>9.0773913043478256</v>
      </c>
      <c r="I107" s="68">
        <f t="shared" ref="I107:I109" si="29">B107/0.33</f>
        <v>7.5362318840579698</v>
      </c>
      <c r="L107">
        <v>6.5</v>
      </c>
      <c r="M107" s="50">
        <f>(L107*C$25)/G$25</f>
        <v>0.68209374999999994</v>
      </c>
    </row>
    <row r="108" spans="1:13" x14ac:dyDescent="0.2">
      <c r="A108" s="7" t="s">
        <v>485</v>
      </c>
      <c r="B108" s="19">
        <f t="shared" si="25"/>
        <v>0.30608695652173917</v>
      </c>
      <c r="C108" s="19">
        <f t="shared" si="26"/>
        <v>5.7</v>
      </c>
      <c r="D108" s="19">
        <f t="shared" si="27"/>
        <v>0</v>
      </c>
      <c r="E108" s="83">
        <v>9.7333333333333341E-2</v>
      </c>
      <c r="F108" s="36">
        <v>1</v>
      </c>
      <c r="G108" s="36">
        <v>0</v>
      </c>
      <c r="H108" s="37">
        <f t="shared" si="28"/>
        <v>1.1172173913043479</v>
      </c>
      <c r="I108" s="68">
        <f t="shared" si="29"/>
        <v>0.92753623188405809</v>
      </c>
      <c r="L108">
        <v>0.8</v>
      </c>
      <c r="M108" s="50">
        <f t="shared" ref="M108:M110" si="30">(L108*C$25)/G$25</f>
        <v>8.3949999999999997E-2</v>
      </c>
    </row>
    <row r="109" spans="1:13" x14ac:dyDescent="0.2">
      <c r="A109" s="7" t="s">
        <v>486</v>
      </c>
      <c r="B109" s="19">
        <f t="shared" si="25"/>
        <v>0.53565217391304343</v>
      </c>
      <c r="C109" s="19">
        <f t="shared" si="26"/>
        <v>2.7359999999999998</v>
      </c>
      <c r="D109" s="19">
        <f t="shared" si="27"/>
        <v>2.8600000000000003</v>
      </c>
      <c r="E109" s="83">
        <v>0.17033333333333331</v>
      </c>
      <c r="F109" s="36">
        <v>0.48</v>
      </c>
      <c r="G109" s="36">
        <v>0.52</v>
      </c>
      <c r="H109" s="37">
        <f t="shared" si="28"/>
        <v>1.9551304347826084</v>
      </c>
      <c r="I109" s="68">
        <f t="shared" si="29"/>
        <v>1.6231884057971013</v>
      </c>
      <c r="L109">
        <v>1.4</v>
      </c>
      <c r="M109" s="50">
        <f t="shared" si="30"/>
        <v>0.14691249999999997</v>
      </c>
    </row>
    <row r="110" spans="1:13" ht="13.5" thickBot="1" x14ac:dyDescent="0.25">
      <c r="A110" s="9" t="s">
        <v>487</v>
      </c>
      <c r="B110" s="43">
        <f t="shared" si="25"/>
        <v>0.87999999999999989</v>
      </c>
      <c r="C110" s="43">
        <f t="shared" si="26"/>
        <v>1.71</v>
      </c>
      <c r="D110" s="43">
        <f t="shared" si="27"/>
        <v>3.8499999999999996</v>
      </c>
      <c r="E110" s="84">
        <v>0.27983333333333327</v>
      </c>
      <c r="F110" s="3">
        <v>0.3</v>
      </c>
      <c r="G110" s="3">
        <v>0.7</v>
      </c>
      <c r="H110" s="41">
        <f t="shared" si="28"/>
        <v>3.2119999999999997</v>
      </c>
      <c r="I110" s="68">
        <f t="shared" si="22"/>
        <v>2.6666666666666661</v>
      </c>
      <c r="L110">
        <v>2.2999999999999998</v>
      </c>
      <c r="M110" s="50">
        <f t="shared" si="30"/>
        <v>0.24135624999999997</v>
      </c>
    </row>
    <row r="111" spans="1:13" x14ac:dyDescent="0.2">
      <c r="A111" s="7" t="s">
        <v>195</v>
      </c>
      <c r="B111" s="19">
        <f>G$26*E111</f>
        <v>0.32000000000000006</v>
      </c>
      <c r="C111" s="19">
        <f>H$26*F111</f>
        <v>8</v>
      </c>
      <c r="D111" s="19">
        <f>I$26*G111</f>
        <v>0</v>
      </c>
      <c r="E111" s="83">
        <v>9.7333333333333341E-2</v>
      </c>
      <c r="F111" s="36">
        <v>1</v>
      </c>
      <c r="G111" s="36">
        <v>0</v>
      </c>
      <c r="H111" s="37">
        <f>B111*3.65</f>
        <v>1.1680000000000001</v>
      </c>
      <c r="I111" s="68">
        <f>B111/0.4</f>
        <v>0.80000000000000016</v>
      </c>
      <c r="L111">
        <v>0.8</v>
      </c>
      <c r="M111" s="50">
        <f>(L111*C$26)/G$26</f>
        <v>9.7333333333333341E-2</v>
      </c>
    </row>
    <row r="112" spans="1:13" x14ac:dyDescent="0.2">
      <c r="A112" s="7" t="s">
        <v>196</v>
      </c>
      <c r="B112" s="19">
        <f t="shared" ref="B112:B123" si="31">G$26*E112</f>
        <v>0.48</v>
      </c>
      <c r="C112" s="19">
        <f t="shared" ref="C112:C123" si="32">H$26*F112</f>
        <v>6.48</v>
      </c>
      <c r="D112" s="19">
        <f t="shared" ref="D112:D123" si="33">I$26*G112</f>
        <v>1.444</v>
      </c>
      <c r="E112" s="83">
        <v>0.14599999999999999</v>
      </c>
      <c r="F112" s="36">
        <v>0.81</v>
      </c>
      <c r="G112" s="36">
        <v>0.19</v>
      </c>
      <c r="H112" s="37">
        <f t="shared" ref="H112:H123" si="34">B112*3.65</f>
        <v>1.752</v>
      </c>
      <c r="I112" s="68">
        <f t="shared" ref="I112:I123" si="35">B112/0.4</f>
        <v>1.2</v>
      </c>
      <c r="L112">
        <v>1.2</v>
      </c>
      <c r="M112" s="50">
        <f t="shared" ref="M112:M123" si="36">(L112*C$26)/G$26</f>
        <v>0.14599999999999999</v>
      </c>
    </row>
    <row r="113" spans="1:13" x14ac:dyDescent="0.2">
      <c r="A113" s="7" t="s">
        <v>197</v>
      </c>
      <c r="B113" s="19">
        <f t="shared" si="31"/>
        <v>0.48</v>
      </c>
      <c r="C113" s="19">
        <f t="shared" si="32"/>
        <v>4.96</v>
      </c>
      <c r="D113" s="19">
        <f t="shared" si="33"/>
        <v>2.8879999999999999</v>
      </c>
      <c r="E113" s="83">
        <v>0.14599999999999999</v>
      </c>
      <c r="F113" s="36">
        <v>0.62</v>
      </c>
      <c r="G113" s="36">
        <v>0.38</v>
      </c>
      <c r="H113" s="37">
        <f t="shared" si="34"/>
        <v>1.752</v>
      </c>
      <c r="I113" s="68">
        <f t="shared" si="35"/>
        <v>1.2</v>
      </c>
      <c r="L113">
        <v>1.2</v>
      </c>
      <c r="M113" s="50">
        <f t="shared" si="36"/>
        <v>0.14599999999999999</v>
      </c>
    </row>
    <row r="114" spans="1:13" x14ac:dyDescent="0.2">
      <c r="A114" s="7" t="s">
        <v>198</v>
      </c>
      <c r="B114" s="19">
        <f t="shared" si="31"/>
        <v>0.48</v>
      </c>
      <c r="C114" s="19">
        <f t="shared" si="32"/>
        <v>5.36</v>
      </c>
      <c r="D114" s="19">
        <f t="shared" si="33"/>
        <v>2.508</v>
      </c>
      <c r="E114" s="83">
        <v>0.14599999999999999</v>
      </c>
      <c r="F114" s="36">
        <v>0.67</v>
      </c>
      <c r="G114" s="36">
        <v>0.33</v>
      </c>
      <c r="H114" s="37">
        <f t="shared" si="34"/>
        <v>1.752</v>
      </c>
      <c r="I114" s="68">
        <f t="shared" si="35"/>
        <v>1.2</v>
      </c>
      <c r="L114">
        <v>1.2</v>
      </c>
      <c r="M114" s="50">
        <f t="shared" si="36"/>
        <v>0.14599999999999999</v>
      </c>
    </row>
    <row r="115" spans="1:13" x14ac:dyDescent="0.2">
      <c r="A115" s="7" t="s">
        <v>199</v>
      </c>
      <c r="B115" s="19">
        <f t="shared" si="31"/>
        <v>0.55999999999999994</v>
      </c>
      <c r="C115" s="19">
        <f t="shared" si="32"/>
        <v>3.84</v>
      </c>
      <c r="D115" s="19">
        <f t="shared" si="33"/>
        <v>3.952</v>
      </c>
      <c r="E115" s="83">
        <v>0.17033333333333331</v>
      </c>
      <c r="F115" s="36">
        <v>0.48</v>
      </c>
      <c r="G115" s="36">
        <v>0.52</v>
      </c>
      <c r="H115" s="37">
        <f t="shared" si="34"/>
        <v>2.0439999999999996</v>
      </c>
      <c r="I115" s="68">
        <f t="shared" si="35"/>
        <v>1.3999999999999997</v>
      </c>
      <c r="L115">
        <v>1.4</v>
      </c>
      <c r="M115" s="50">
        <f t="shared" si="36"/>
        <v>0.17033333333333331</v>
      </c>
    </row>
    <row r="116" spans="1:13" x14ac:dyDescent="0.2">
      <c r="A116" s="7" t="s">
        <v>200</v>
      </c>
      <c r="B116" s="19">
        <f t="shared" si="31"/>
        <v>0.72000000000000008</v>
      </c>
      <c r="C116" s="19">
        <f t="shared" si="32"/>
        <v>2.4</v>
      </c>
      <c r="D116" s="19">
        <f>I$26*G116</f>
        <v>5.3199999999999994</v>
      </c>
      <c r="E116" s="83">
        <v>0.219</v>
      </c>
      <c r="F116" s="36">
        <v>0.3</v>
      </c>
      <c r="G116" s="36">
        <v>0.7</v>
      </c>
      <c r="H116" s="37">
        <f t="shared" si="34"/>
        <v>2.6280000000000001</v>
      </c>
      <c r="I116" s="68">
        <f t="shared" si="35"/>
        <v>1.8</v>
      </c>
      <c r="L116">
        <v>1.8</v>
      </c>
      <c r="M116" s="50">
        <f t="shared" si="36"/>
        <v>0.219</v>
      </c>
    </row>
    <row r="117" spans="1:13" x14ac:dyDescent="0.2">
      <c r="A117" s="7" t="s">
        <v>201</v>
      </c>
      <c r="B117" s="19">
        <f t="shared" si="31"/>
        <v>1.52</v>
      </c>
      <c r="C117" s="19">
        <f t="shared" si="32"/>
        <v>4</v>
      </c>
      <c r="D117" s="19">
        <f t="shared" si="33"/>
        <v>3.8</v>
      </c>
      <c r="E117" s="83">
        <v>0.46233333333333332</v>
      </c>
      <c r="F117" s="36">
        <v>0.5</v>
      </c>
      <c r="G117" s="36">
        <v>0.5</v>
      </c>
      <c r="H117" s="37">
        <f t="shared" si="34"/>
        <v>5.548</v>
      </c>
      <c r="I117" s="68">
        <f t="shared" si="35"/>
        <v>3.8</v>
      </c>
      <c r="L117">
        <v>3.8</v>
      </c>
      <c r="M117" s="50">
        <f t="shared" si="36"/>
        <v>0.46233333333333332</v>
      </c>
    </row>
    <row r="118" spans="1:13" x14ac:dyDescent="0.2">
      <c r="A118" s="7" t="s">
        <v>202</v>
      </c>
      <c r="B118" s="19">
        <f t="shared" si="31"/>
        <v>1.92</v>
      </c>
      <c r="C118" s="19">
        <f t="shared" si="32"/>
        <v>2.4</v>
      </c>
      <c r="D118" s="19">
        <f t="shared" si="33"/>
        <v>5.3199999999999994</v>
      </c>
      <c r="E118" s="83">
        <v>0.58399999999999996</v>
      </c>
      <c r="F118" s="36">
        <v>0.3</v>
      </c>
      <c r="G118" s="36">
        <v>0.7</v>
      </c>
      <c r="H118" s="37">
        <f t="shared" si="34"/>
        <v>7.008</v>
      </c>
      <c r="I118" s="68">
        <f t="shared" si="35"/>
        <v>4.8</v>
      </c>
      <c r="L118">
        <v>4.8</v>
      </c>
      <c r="M118" s="50">
        <f t="shared" si="36"/>
        <v>0.58399999999999996</v>
      </c>
    </row>
    <row r="119" spans="1:13" x14ac:dyDescent="0.2">
      <c r="A119" s="7" t="s">
        <v>203</v>
      </c>
      <c r="B119" s="19">
        <f>G$26*E119</f>
        <v>1.92</v>
      </c>
      <c r="C119" s="19">
        <f t="shared" si="32"/>
        <v>2</v>
      </c>
      <c r="D119" s="19">
        <f t="shared" si="33"/>
        <v>5.6999999999999993</v>
      </c>
      <c r="E119" s="83">
        <v>0.58399999999999996</v>
      </c>
      <c r="F119" s="36">
        <v>0.25</v>
      </c>
      <c r="G119" s="36">
        <v>0.75</v>
      </c>
      <c r="H119" s="37">
        <f t="shared" si="34"/>
        <v>7.008</v>
      </c>
      <c r="I119" s="68">
        <f t="shared" si="35"/>
        <v>4.8</v>
      </c>
      <c r="L119">
        <v>4.8</v>
      </c>
      <c r="M119" s="50">
        <f t="shared" si="36"/>
        <v>0.58399999999999996</v>
      </c>
    </row>
    <row r="120" spans="1:13" x14ac:dyDescent="0.2">
      <c r="A120" s="7" t="s">
        <v>204</v>
      </c>
      <c r="B120" s="19">
        <f t="shared" si="31"/>
        <v>2.6</v>
      </c>
      <c r="C120" s="19">
        <f t="shared" si="32"/>
        <v>0</v>
      </c>
      <c r="D120" s="19">
        <f t="shared" si="33"/>
        <v>7.6</v>
      </c>
      <c r="E120" s="83">
        <v>0.79083333333333328</v>
      </c>
      <c r="F120" s="36">
        <v>0</v>
      </c>
      <c r="G120" s="36">
        <v>1</v>
      </c>
      <c r="H120" s="37">
        <f t="shared" si="34"/>
        <v>9.49</v>
      </c>
      <c r="I120" s="68">
        <f t="shared" si="35"/>
        <v>6.5</v>
      </c>
      <c r="L120">
        <v>6.5</v>
      </c>
      <c r="M120" s="50">
        <f t="shared" si="36"/>
        <v>0.79083333333333328</v>
      </c>
    </row>
    <row r="121" spans="1:13" x14ac:dyDescent="0.2">
      <c r="A121" s="7" t="s">
        <v>205</v>
      </c>
      <c r="B121" s="19">
        <f t="shared" si="31"/>
        <v>0.32000000000000006</v>
      </c>
      <c r="C121" s="19">
        <f t="shared" si="32"/>
        <v>8</v>
      </c>
      <c r="D121" s="19">
        <f t="shared" si="33"/>
        <v>0</v>
      </c>
      <c r="E121" s="83">
        <v>9.7333333333333341E-2</v>
      </c>
      <c r="F121" s="36">
        <v>1</v>
      </c>
      <c r="G121" s="36">
        <v>0</v>
      </c>
      <c r="H121" s="37">
        <f t="shared" si="34"/>
        <v>1.1680000000000001</v>
      </c>
      <c r="I121" s="68">
        <f t="shared" si="35"/>
        <v>0.80000000000000016</v>
      </c>
      <c r="L121">
        <v>0.8</v>
      </c>
      <c r="M121" s="50">
        <f t="shared" si="36"/>
        <v>9.7333333333333341E-2</v>
      </c>
    </row>
    <row r="122" spans="1:13" x14ac:dyDescent="0.2">
      <c r="A122" s="7" t="s">
        <v>206</v>
      </c>
      <c r="B122" s="19">
        <f t="shared" si="31"/>
        <v>0.55999999999999994</v>
      </c>
      <c r="C122" s="19">
        <f>H$26*F122</f>
        <v>3.84</v>
      </c>
      <c r="D122" s="19">
        <f t="shared" si="33"/>
        <v>3.952</v>
      </c>
      <c r="E122" s="83">
        <v>0.17033333333333331</v>
      </c>
      <c r="F122" s="36">
        <v>0.48</v>
      </c>
      <c r="G122" s="36">
        <v>0.52</v>
      </c>
      <c r="H122" s="37">
        <f t="shared" si="34"/>
        <v>2.0439999999999996</v>
      </c>
      <c r="I122" s="68">
        <f t="shared" si="35"/>
        <v>1.3999999999999997</v>
      </c>
      <c r="L122">
        <v>1.4</v>
      </c>
      <c r="M122" s="50">
        <f t="shared" si="36"/>
        <v>0.17033333333333331</v>
      </c>
    </row>
    <row r="123" spans="1:13" ht="13.5" thickBot="1" x14ac:dyDescent="0.25">
      <c r="A123" s="9" t="s">
        <v>207</v>
      </c>
      <c r="B123" s="43">
        <f t="shared" si="31"/>
        <v>0.91999999999999982</v>
      </c>
      <c r="C123" s="43">
        <f t="shared" si="32"/>
        <v>2.4</v>
      </c>
      <c r="D123" s="43">
        <f t="shared" si="33"/>
        <v>5.3199999999999994</v>
      </c>
      <c r="E123" s="84">
        <v>0.27983333333333327</v>
      </c>
      <c r="F123" s="3">
        <v>0.3</v>
      </c>
      <c r="G123" s="3">
        <v>0.7</v>
      </c>
      <c r="H123" s="41">
        <f t="shared" si="34"/>
        <v>3.3579999999999992</v>
      </c>
      <c r="I123" s="68">
        <f t="shared" si="35"/>
        <v>2.2999999999999994</v>
      </c>
      <c r="L123">
        <v>2.2999999999999998</v>
      </c>
      <c r="M123" s="50">
        <f t="shared" si="36"/>
        <v>0.27983333333333327</v>
      </c>
    </row>
    <row r="124" spans="1:13" x14ac:dyDescent="0.2">
      <c r="A124" s="7" t="s">
        <v>208</v>
      </c>
      <c r="B124" s="19">
        <f>G$27*E124</f>
        <v>0.48</v>
      </c>
      <c r="C124" s="19">
        <f t="shared" ref="C124:D136" si="37">H$27*F124</f>
        <v>12</v>
      </c>
      <c r="D124" s="19">
        <f t="shared" si="37"/>
        <v>0</v>
      </c>
      <c r="E124" s="82">
        <v>0.1095</v>
      </c>
      <c r="F124" s="38">
        <v>1</v>
      </c>
      <c r="G124" s="38">
        <v>0</v>
      </c>
      <c r="H124" s="37">
        <f t="shared" ref="H124:H136" si="38">B124*3.65</f>
        <v>1.752</v>
      </c>
      <c r="I124" s="68">
        <f>B124/0.6</f>
        <v>0.8</v>
      </c>
      <c r="L124">
        <v>0.8</v>
      </c>
      <c r="M124" s="50">
        <f>(L124*C$27)/G$27</f>
        <v>0.1095</v>
      </c>
    </row>
    <row r="125" spans="1:13" x14ac:dyDescent="0.2">
      <c r="A125" s="7" t="s">
        <v>209</v>
      </c>
      <c r="B125" s="19">
        <f t="shared" ref="B125:B136" si="39">G$27*E125</f>
        <v>0.72</v>
      </c>
      <c r="C125" s="19">
        <f t="shared" si="37"/>
        <v>9.7200000000000006</v>
      </c>
      <c r="D125" s="19">
        <f t="shared" si="37"/>
        <v>1.9</v>
      </c>
      <c r="E125" s="83">
        <v>0.16425000000000001</v>
      </c>
      <c r="F125" s="36">
        <v>0.81</v>
      </c>
      <c r="G125" s="36">
        <v>0.19</v>
      </c>
      <c r="H125" s="37">
        <f t="shared" si="38"/>
        <v>2.6279999999999997</v>
      </c>
      <c r="I125" s="68">
        <f>B125/0.6</f>
        <v>1.2</v>
      </c>
      <c r="L125">
        <v>1.2</v>
      </c>
      <c r="M125" s="50">
        <f t="shared" ref="M125:M136" si="40">(L125*C$27)/G$27</f>
        <v>0.16425000000000001</v>
      </c>
    </row>
    <row r="126" spans="1:13" x14ac:dyDescent="0.2">
      <c r="A126" s="7" t="s">
        <v>210</v>
      </c>
      <c r="B126" s="19">
        <f t="shared" si="39"/>
        <v>0.72</v>
      </c>
      <c r="C126" s="19">
        <f t="shared" si="37"/>
        <v>7.4399999999999995</v>
      </c>
      <c r="D126" s="19">
        <f t="shared" si="37"/>
        <v>3.8</v>
      </c>
      <c r="E126" s="83">
        <v>0.16425000000000001</v>
      </c>
      <c r="F126" s="36">
        <v>0.62</v>
      </c>
      <c r="G126" s="36">
        <v>0.38</v>
      </c>
      <c r="H126" s="37">
        <f t="shared" si="38"/>
        <v>2.6279999999999997</v>
      </c>
      <c r="I126" s="68">
        <f t="shared" ref="I126:I136" si="41">B126/0.6</f>
        <v>1.2</v>
      </c>
      <c r="L126">
        <v>1.2</v>
      </c>
      <c r="M126" s="50">
        <f t="shared" si="40"/>
        <v>0.16425000000000001</v>
      </c>
    </row>
    <row r="127" spans="1:13" x14ac:dyDescent="0.2">
      <c r="A127" s="7" t="s">
        <v>211</v>
      </c>
      <c r="B127" s="19">
        <f t="shared" si="39"/>
        <v>0.72</v>
      </c>
      <c r="C127" s="19">
        <f t="shared" si="37"/>
        <v>8.0400000000000009</v>
      </c>
      <c r="D127" s="19">
        <f t="shared" si="37"/>
        <v>3.3000000000000003</v>
      </c>
      <c r="E127" s="83">
        <v>0.16425000000000001</v>
      </c>
      <c r="F127" s="36">
        <v>0.67</v>
      </c>
      <c r="G127" s="36">
        <v>0.33</v>
      </c>
      <c r="H127" s="37">
        <f t="shared" si="38"/>
        <v>2.6279999999999997</v>
      </c>
      <c r="I127" s="68">
        <f t="shared" si="41"/>
        <v>1.2</v>
      </c>
      <c r="L127">
        <v>1.2</v>
      </c>
      <c r="M127" s="50">
        <f t="shared" si="40"/>
        <v>0.16425000000000001</v>
      </c>
    </row>
    <row r="128" spans="1:13" x14ac:dyDescent="0.2">
      <c r="A128" s="7" t="s">
        <v>212</v>
      </c>
      <c r="B128" s="19">
        <f t="shared" si="39"/>
        <v>0.83999999999999986</v>
      </c>
      <c r="C128" s="19">
        <f t="shared" si="37"/>
        <v>5.76</v>
      </c>
      <c r="D128" s="19">
        <f t="shared" si="37"/>
        <v>5.2</v>
      </c>
      <c r="E128" s="83">
        <v>0.19162499999999999</v>
      </c>
      <c r="F128" s="36">
        <v>0.48</v>
      </c>
      <c r="G128" s="36">
        <v>0.52</v>
      </c>
      <c r="H128" s="37">
        <f t="shared" si="38"/>
        <v>3.0659999999999994</v>
      </c>
      <c r="I128" s="68">
        <f t="shared" si="41"/>
        <v>1.4</v>
      </c>
      <c r="L128">
        <v>1.4</v>
      </c>
      <c r="M128" s="50">
        <f t="shared" si="40"/>
        <v>0.19162499999999999</v>
      </c>
    </row>
    <row r="129" spans="1:13" x14ac:dyDescent="0.2">
      <c r="A129" s="7" t="s">
        <v>213</v>
      </c>
      <c r="B129" s="19">
        <f t="shared" si="39"/>
        <v>1.08</v>
      </c>
      <c r="C129" s="19">
        <f t="shared" si="37"/>
        <v>3.5999999999999996</v>
      </c>
      <c r="D129" s="19">
        <f t="shared" si="37"/>
        <v>7</v>
      </c>
      <c r="E129" s="83">
        <v>0.24637500000000004</v>
      </c>
      <c r="F129" s="36">
        <v>0.3</v>
      </c>
      <c r="G129" s="36">
        <v>0.7</v>
      </c>
      <c r="H129" s="37">
        <f t="shared" si="38"/>
        <v>3.9420000000000002</v>
      </c>
      <c r="I129" s="68">
        <f t="shared" si="41"/>
        <v>1.8000000000000003</v>
      </c>
      <c r="L129">
        <v>1.8</v>
      </c>
      <c r="M129" s="50">
        <f t="shared" si="40"/>
        <v>0.24637500000000004</v>
      </c>
    </row>
    <row r="130" spans="1:13" x14ac:dyDescent="0.2">
      <c r="A130" s="7" t="s">
        <v>214</v>
      </c>
      <c r="B130" s="19">
        <f t="shared" si="39"/>
        <v>2.2799999999999998</v>
      </c>
      <c r="C130" s="19">
        <f t="shared" si="37"/>
        <v>6</v>
      </c>
      <c r="D130" s="19">
        <f t="shared" si="37"/>
        <v>5</v>
      </c>
      <c r="E130" s="83">
        <v>0.52012499999999995</v>
      </c>
      <c r="F130" s="36">
        <v>0.5</v>
      </c>
      <c r="G130" s="36">
        <v>0.5</v>
      </c>
      <c r="H130" s="37">
        <f t="shared" si="38"/>
        <v>8.3219999999999992</v>
      </c>
      <c r="I130" s="68">
        <f t="shared" si="41"/>
        <v>3.8</v>
      </c>
      <c r="L130">
        <v>3.8</v>
      </c>
      <c r="M130" s="50">
        <f t="shared" si="40"/>
        <v>0.52012499999999995</v>
      </c>
    </row>
    <row r="131" spans="1:13" x14ac:dyDescent="0.2">
      <c r="A131" s="7" t="s">
        <v>215</v>
      </c>
      <c r="B131" s="19">
        <f t="shared" si="39"/>
        <v>2.88</v>
      </c>
      <c r="C131" s="19">
        <f t="shared" si="37"/>
        <v>3.5999999999999996</v>
      </c>
      <c r="D131" s="19">
        <f t="shared" si="37"/>
        <v>7</v>
      </c>
      <c r="E131" s="83">
        <v>0.65700000000000003</v>
      </c>
      <c r="F131" s="36">
        <v>0.3</v>
      </c>
      <c r="G131" s="36">
        <v>0.7</v>
      </c>
      <c r="H131" s="37">
        <f t="shared" si="38"/>
        <v>10.511999999999999</v>
      </c>
      <c r="I131" s="68">
        <f t="shared" si="41"/>
        <v>4.8</v>
      </c>
      <c r="L131">
        <v>4.8</v>
      </c>
      <c r="M131" s="50">
        <f t="shared" si="40"/>
        <v>0.65700000000000003</v>
      </c>
    </row>
    <row r="132" spans="1:13" x14ac:dyDescent="0.2">
      <c r="A132" s="7" t="s">
        <v>216</v>
      </c>
      <c r="B132" s="19">
        <f t="shared" si="39"/>
        <v>2.88</v>
      </c>
      <c r="C132" s="19">
        <f t="shared" si="37"/>
        <v>3</v>
      </c>
      <c r="D132" s="19">
        <f t="shared" si="37"/>
        <v>7.5</v>
      </c>
      <c r="E132" s="83">
        <v>0.65700000000000003</v>
      </c>
      <c r="F132" s="36">
        <v>0.25</v>
      </c>
      <c r="G132" s="36">
        <v>0.75</v>
      </c>
      <c r="H132" s="37">
        <f t="shared" si="38"/>
        <v>10.511999999999999</v>
      </c>
      <c r="I132" s="68">
        <f t="shared" si="41"/>
        <v>4.8</v>
      </c>
      <c r="L132">
        <v>4.8</v>
      </c>
      <c r="M132" s="50">
        <f t="shared" si="40"/>
        <v>0.65700000000000003</v>
      </c>
    </row>
    <row r="133" spans="1:13" x14ac:dyDescent="0.2">
      <c r="A133" s="7" t="s">
        <v>217</v>
      </c>
      <c r="B133" s="19">
        <f t="shared" si="39"/>
        <v>3.9</v>
      </c>
      <c r="C133" s="19">
        <f t="shared" si="37"/>
        <v>0</v>
      </c>
      <c r="D133" s="19">
        <f t="shared" si="37"/>
        <v>10</v>
      </c>
      <c r="E133" s="83">
        <v>0.88968750000000008</v>
      </c>
      <c r="F133" s="36">
        <v>0</v>
      </c>
      <c r="G133" s="36">
        <v>1</v>
      </c>
      <c r="H133" s="37">
        <f t="shared" si="38"/>
        <v>14.234999999999999</v>
      </c>
      <c r="I133" s="68">
        <f t="shared" si="41"/>
        <v>6.5</v>
      </c>
      <c r="L133">
        <v>6.5</v>
      </c>
      <c r="M133" s="50">
        <f t="shared" si="40"/>
        <v>0.88968750000000008</v>
      </c>
    </row>
    <row r="134" spans="1:13" x14ac:dyDescent="0.2">
      <c r="A134" s="7" t="s">
        <v>218</v>
      </c>
      <c r="B134" s="19">
        <f t="shared" si="39"/>
        <v>0.48</v>
      </c>
      <c r="C134" s="19">
        <f t="shared" si="37"/>
        <v>12</v>
      </c>
      <c r="D134" s="19">
        <f t="shared" si="37"/>
        <v>0</v>
      </c>
      <c r="E134" s="83">
        <v>0.1095</v>
      </c>
      <c r="F134" s="36">
        <v>1</v>
      </c>
      <c r="G134" s="36">
        <v>0</v>
      </c>
      <c r="H134" s="37">
        <f t="shared" si="38"/>
        <v>1.752</v>
      </c>
      <c r="I134" s="68">
        <f t="shared" si="41"/>
        <v>0.8</v>
      </c>
      <c r="L134">
        <v>0.8</v>
      </c>
      <c r="M134" s="50">
        <f t="shared" si="40"/>
        <v>0.1095</v>
      </c>
    </row>
    <row r="135" spans="1:13" x14ac:dyDescent="0.2">
      <c r="A135" s="7" t="s">
        <v>219</v>
      </c>
      <c r="B135" s="19">
        <f t="shared" si="39"/>
        <v>0.83999999999999986</v>
      </c>
      <c r="C135" s="19">
        <f t="shared" si="37"/>
        <v>5.76</v>
      </c>
      <c r="D135" s="19">
        <f t="shared" si="37"/>
        <v>5.2</v>
      </c>
      <c r="E135" s="83">
        <v>0.19162499999999999</v>
      </c>
      <c r="F135" s="36">
        <v>0.48</v>
      </c>
      <c r="G135" s="36">
        <v>0.52</v>
      </c>
      <c r="H135" s="37">
        <f t="shared" si="38"/>
        <v>3.0659999999999994</v>
      </c>
      <c r="I135" s="68">
        <f t="shared" si="41"/>
        <v>1.4</v>
      </c>
      <c r="L135">
        <v>1.4</v>
      </c>
      <c r="M135" s="50">
        <f t="shared" si="40"/>
        <v>0.19162499999999999</v>
      </c>
    </row>
    <row r="136" spans="1:13" ht="13.5" thickBot="1" x14ac:dyDescent="0.25">
      <c r="A136" s="9" t="s">
        <v>220</v>
      </c>
      <c r="B136" s="43">
        <f t="shared" si="39"/>
        <v>1.38</v>
      </c>
      <c r="C136" s="43">
        <f t="shared" si="37"/>
        <v>3.5999999999999996</v>
      </c>
      <c r="D136" s="43">
        <f t="shared" si="37"/>
        <v>7</v>
      </c>
      <c r="E136" s="84">
        <v>0.3148125</v>
      </c>
      <c r="F136" s="3">
        <v>0.3</v>
      </c>
      <c r="G136" s="3">
        <v>0.7</v>
      </c>
      <c r="H136" s="41">
        <f t="shared" si="38"/>
        <v>5.0369999999999999</v>
      </c>
      <c r="I136" s="68">
        <f t="shared" si="41"/>
        <v>2.2999999999999998</v>
      </c>
      <c r="L136">
        <v>2.2999999999999998</v>
      </c>
      <c r="M136" s="50">
        <f t="shared" si="40"/>
        <v>0.3148125</v>
      </c>
    </row>
    <row r="137" spans="1:13" x14ac:dyDescent="0.2">
      <c r="A137" s="4" t="s">
        <v>303</v>
      </c>
      <c r="B137" s="24">
        <f>$G$28*E137</f>
        <v>0.91019178082191798</v>
      </c>
      <c r="C137" s="19">
        <f>$H$28*F137</f>
        <v>0.68</v>
      </c>
      <c r="D137" s="19">
        <f>$I$28*G137</f>
        <v>2.5600000000000005</v>
      </c>
      <c r="E137" s="82">
        <v>0.79100000000000004</v>
      </c>
      <c r="F137" s="38">
        <v>0.2</v>
      </c>
      <c r="G137" s="38">
        <v>0.8</v>
      </c>
      <c r="H137" s="39">
        <f>B137*3.65</f>
        <v>3.3222000000000005</v>
      </c>
      <c r="I137" s="68">
        <f>B137/0.13</f>
        <v>7.0014752370916762</v>
      </c>
      <c r="L137">
        <v>3.8</v>
      </c>
      <c r="M137" s="50">
        <f>(L137*C$28)/G$28</f>
        <v>0.42930952380952375</v>
      </c>
    </row>
    <row r="138" spans="1:13" x14ac:dyDescent="0.2">
      <c r="A138" s="7" t="s">
        <v>304</v>
      </c>
      <c r="B138" s="19">
        <f t="shared" ref="B138:B139" si="42">$G$28*E138</f>
        <v>0.91019178082191798</v>
      </c>
      <c r="C138" s="19">
        <f t="shared" ref="C138:C139" si="43">$H$28*F138</f>
        <v>0.68</v>
      </c>
      <c r="D138" s="19">
        <f>$I$28*G138</f>
        <v>2.5600000000000005</v>
      </c>
      <c r="E138" s="83">
        <v>0.79100000000000004</v>
      </c>
      <c r="F138" s="36">
        <v>0.2</v>
      </c>
      <c r="G138" s="36">
        <v>0.8</v>
      </c>
      <c r="H138" s="37">
        <f t="shared" ref="H138:H139" si="44">B138*3.65</f>
        <v>3.3222000000000005</v>
      </c>
      <c r="I138" s="68">
        <f t="shared" ref="I138:I139" si="45">B138/0.13</f>
        <v>7.0014752370916762</v>
      </c>
      <c r="L138">
        <v>4.8</v>
      </c>
      <c r="M138" s="50">
        <f t="shared" ref="M138" si="46">(L138*C$28)/G$28</f>
        <v>0.54228571428571426</v>
      </c>
    </row>
    <row r="139" spans="1:13" ht="13.5" thickBot="1" x14ac:dyDescent="0.25">
      <c r="A139" s="9" t="s">
        <v>305</v>
      </c>
      <c r="B139" s="43">
        <f t="shared" si="42"/>
        <v>0.91019178082191798</v>
      </c>
      <c r="C139" s="43">
        <f t="shared" si="43"/>
        <v>0</v>
      </c>
      <c r="D139" s="43">
        <f>$I$28*G139</f>
        <v>3.2</v>
      </c>
      <c r="E139" s="84">
        <v>0.79100000000000004</v>
      </c>
      <c r="F139" s="3">
        <v>0</v>
      </c>
      <c r="G139" s="3">
        <v>1</v>
      </c>
      <c r="H139" s="41">
        <f t="shared" si="44"/>
        <v>3.3222000000000005</v>
      </c>
      <c r="I139" s="68">
        <f t="shared" si="45"/>
        <v>7.0014752370916762</v>
      </c>
      <c r="L139">
        <v>7</v>
      </c>
      <c r="M139" s="50">
        <f>(L139*C$28)/G$28</f>
        <v>0.79083333333333328</v>
      </c>
    </row>
    <row r="140" spans="1:13" x14ac:dyDescent="0.2">
      <c r="A140" t="s">
        <v>221</v>
      </c>
      <c r="B140" s="19">
        <f>G$29*E140</f>
        <v>0.104</v>
      </c>
      <c r="C140" s="19">
        <f>H$29*F140</f>
        <v>3.8</v>
      </c>
      <c r="D140" s="19">
        <f>I$29*G140</f>
        <v>0</v>
      </c>
      <c r="E140" s="82">
        <v>0.15816666666666668</v>
      </c>
      <c r="F140" s="36">
        <v>1</v>
      </c>
      <c r="G140" s="36">
        <v>0</v>
      </c>
      <c r="H140" s="37">
        <f>B140*3.65</f>
        <v>0.37959999999999999</v>
      </c>
      <c r="I140" s="68">
        <f>B140/0.13</f>
        <v>0.79999999999999993</v>
      </c>
      <c r="L140">
        <v>0.8</v>
      </c>
      <c r="M140" s="50">
        <f>(L140*C$29)/G$29</f>
        <v>0.15816666666666668</v>
      </c>
    </row>
    <row r="141" spans="1:13" x14ac:dyDescent="0.2">
      <c r="A141" t="s">
        <v>222</v>
      </c>
      <c r="B141" s="19">
        <f t="shared" ref="B141:B149" si="47">G$29*E141</f>
        <v>0.156</v>
      </c>
      <c r="C141" s="19">
        <f t="shared" ref="C141:C149" si="48">H$29*F141</f>
        <v>3.0779999999999998</v>
      </c>
      <c r="D141" s="19">
        <f t="shared" ref="D141:D149" si="49">I$29*G141</f>
        <v>0.68400000000000005</v>
      </c>
      <c r="E141" s="83">
        <v>0.23725000000000002</v>
      </c>
      <c r="F141" s="36">
        <v>0.81</v>
      </c>
      <c r="G141" s="36">
        <v>0.19</v>
      </c>
      <c r="H141" s="37">
        <f t="shared" ref="H141:H149" si="50">B141*3.65</f>
        <v>0.56940000000000002</v>
      </c>
      <c r="I141" s="68">
        <f t="shared" ref="I141:I149" si="51">B141/0.13</f>
        <v>1.2</v>
      </c>
      <c r="L141">
        <v>1.2</v>
      </c>
      <c r="M141" s="50">
        <f t="shared" ref="M141:M149" si="52">(L141*C$29)/G$29</f>
        <v>0.23725000000000002</v>
      </c>
    </row>
    <row r="142" spans="1:13" x14ac:dyDescent="0.2">
      <c r="A142" t="s">
        <v>223</v>
      </c>
      <c r="B142" s="19">
        <f t="shared" si="47"/>
        <v>0.156</v>
      </c>
      <c r="C142" s="19">
        <f t="shared" si="48"/>
        <v>2.3559999999999999</v>
      </c>
      <c r="D142" s="19">
        <f t="shared" si="49"/>
        <v>1.3680000000000001</v>
      </c>
      <c r="E142" s="83">
        <v>0.23725000000000002</v>
      </c>
      <c r="F142" s="36">
        <v>0.62</v>
      </c>
      <c r="G142" s="36">
        <v>0.38</v>
      </c>
      <c r="H142" s="37">
        <f t="shared" si="50"/>
        <v>0.56940000000000002</v>
      </c>
      <c r="I142" s="68">
        <f t="shared" si="51"/>
        <v>1.2</v>
      </c>
      <c r="L142">
        <v>1.2</v>
      </c>
      <c r="M142" s="50">
        <f t="shared" si="52"/>
        <v>0.23725000000000002</v>
      </c>
    </row>
    <row r="143" spans="1:13" x14ac:dyDescent="0.2">
      <c r="A143" t="s">
        <v>224</v>
      </c>
      <c r="B143" s="19">
        <f t="shared" si="47"/>
        <v>0.156</v>
      </c>
      <c r="C143" s="19">
        <f t="shared" si="48"/>
        <v>2.5459999999999998</v>
      </c>
      <c r="D143" s="19">
        <f t="shared" si="49"/>
        <v>1.1880000000000002</v>
      </c>
      <c r="E143" s="83">
        <v>0.23725000000000002</v>
      </c>
      <c r="F143" s="36">
        <v>0.67</v>
      </c>
      <c r="G143" s="36">
        <v>0.33</v>
      </c>
      <c r="H143" s="37">
        <f t="shared" si="50"/>
        <v>0.56940000000000002</v>
      </c>
      <c r="I143" s="68">
        <f t="shared" si="51"/>
        <v>1.2</v>
      </c>
      <c r="L143">
        <v>1.2</v>
      </c>
      <c r="M143" s="50">
        <f t="shared" si="52"/>
        <v>0.23725000000000002</v>
      </c>
    </row>
    <row r="144" spans="1:13" x14ac:dyDescent="0.2">
      <c r="A144" t="s">
        <v>225</v>
      </c>
      <c r="B144" s="19">
        <f t="shared" si="47"/>
        <v>0.182</v>
      </c>
      <c r="C144" s="19">
        <f t="shared" si="48"/>
        <v>1.8239999999999998</v>
      </c>
      <c r="D144" s="19">
        <f t="shared" si="49"/>
        <v>1.8720000000000001</v>
      </c>
      <c r="E144" s="83">
        <v>0.27679166666666666</v>
      </c>
      <c r="F144" s="36">
        <v>0.48</v>
      </c>
      <c r="G144" s="36">
        <v>0.52</v>
      </c>
      <c r="H144" s="37">
        <f t="shared" si="50"/>
        <v>0.6643</v>
      </c>
      <c r="I144" s="68">
        <f t="shared" si="51"/>
        <v>1.4</v>
      </c>
      <c r="L144">
        <v>1.4</v>
      </c>
      <c r="M144" s="50">
        <f t="shared" si="52"/>
        <v>0.27679166666666666</v>
      </c>
    </row>
    <row r="145" spans="1:13" x14ac:dyDescent="0.2">
      <c r="A145" t="s">
        <v>226</v>
      </c>
      <c r="B145" s="19">
        <f t="shared" si="47"/>
        <v>0.23400000000000001</v>
      </c>
      <c r="C145" s="19">
        <f t="shared" si="48"/>
        <v>1.1399999999999999</v>
      </c>
      <c r="D145" s="19">
        <f t="shared" si="49"/>
        <v>2.52</v>
      </c>
      <c r="E145" s="83">
        <v>0.35587500000000005</v>
      </c>
      <c r="F145" s="36">
        <v>0.3</v>
      </c>
      <c r="G145" s="36">
        <v>0.7</v>
      </c>
      <c r="H145" s="37">
        <f t="shared" si="50"/>
        <v>0.85410000000000008</v>
      </c>
      <c r="I145" s="68">
        <f t="shared" si="51"/>
        <v>1.8</v>
      </c>
      <c r="L145">
        <v>1.8</v>
      </c>
      <c r="M145" s="50">
        <f t="shared" si="52"/>
        <v>0.35587500000000005</v>
      </c>
    </row>
    <row r="146" spans="1:13" x14ac:dyDescent="0.2">
      <c r="A146" t="s">
        <v>227</v>
      </c>
      <c r="B146" s="19">
        <f t="shared" si="47"/>
        <v>0.49399999999999999</v>
      </c>
      <c r="C146" s="19">
        <f t="shared" si="48"/>
        <v>1.9</v>
      </c>
      <c r="D146" s="19">
        <f t="shared" si="49"/>
        <v>1.8</v>
      </c>
      <c r="E146" s="83">
        <v>0.75129166666666669</v>
      </c>
      <c r="F146" s="36">
        <v>0.5</v>
      </c>
      <c r="G146" s="36">
        <v>0.5</v>
      </c>
      <c r="H146" s="37">
        <f t="shared" si="50"/>
        <v>1.8030999999999999</v>
      </c>
      <c r="I146" s="68">
        <f t="shared" si="51"/>
        <v>3.8</v>
      </c>
      <c r="L146">
        <v>3.8</v>
      </c>
      <c r="M146" s="50">
        <f t="shared" si="52"/>
        <v>0.75129166666666669</v>
      </c>
    </row>
    <row r="147" spans="1:13" x14ac:dyDescent="0.2">
      <c r="A147" t="s">
        <v>228</v>
      </c>
      <c r="B147" s="19">
        <f t="shared" si="47"/>
        <v>0.624</v>
      </c>
      <c r="C147" s="19">
        <f t="shared" si="48"/>
        <v>1.1399999999999999</v>
      </c>
      <c r="D147" s="19">
        <f t="shared" si="49"/>
        <v>2.52</v>
      </c>
      <c r="E147" s="83">
        <v>0.94900000000000007</v>
      </c>
      <c r="F147" s="36">
        <v>0.3</v>
      </c>
      <c r="G147" s="36">
        <v>0.7</v>
      </c>
      <c r="H147" s="37">
        <f t="shared" si="50"/>
        <v>2.2776000000000001</v>
      </c>
      <c r="I147" s="68">
        <f t="shared" si="51"/>
        <v>4.8</v>
      </c>
      <c r="L147">
        <v>4.8</v>
      </c>
      <c r="M147" s="50">
        <f t="shared" si="52"/>
        <v>0.94900000000000007</v>
      </c>
    </row>
    <row r="148" spans="1:13" x14ac:dyDescent="0.2">
      <c r="A148" t="s">
        <v>229</v>
      </c>
      <c r="B148" s="19">
        <f t="shared" si="47"/>
        <v>0.624</v>
      </c>
      <c r="C148" s="19">
        <f t="shared" si="48"/>
        <v>0.95</v>
      </c>
      <c r="D148" s="19">
        <f t="shared" si="49"/>
        <v>2.7</v>
      </c>
      <c r="E148" s="83">
        <v>0.94900000000000007</v>
      </c>
      <c r="F148" s="36">
        <v>0.25</v>
      </c>
      <c r="G148" s="36">
        <v>0.75</v>
      </c>
      <c r="H148" s="37">
        <f t="shared" si="50"/>
        <v>2.2776000000000001</v>
      </c>
      <c r="I148" s="68">
        <f t="shared" si="51"/>
        <v>4.8</v>
      </c>
      <c r="L148">
        <v>4.8</v>
      </c>
      <c r="M148" s="50">
        <f t="shared" si="52"/>
        <v>0.94900000000000007</v>
      </c>
    </row>
    <row r="149" spans="1:13" ht="13.5" thickBot="1" x14ac:dyDescent="0.25">
      <c r="A149" s="2" t="s">
        <v>230</v>
      </c>
      <c r="B149" s="43">
        <f t="shared" si="47"/>
        <v>0.84499999999999997</v>
      </c>
      <c r="C149" s="43">
        <f t="shared" si="48"/>
        <v>0</v>
      </c>
      <c r="D149" s="43">
        <f t="shared" si="49"/>
        <v>3.6</v>
      </c>
      <c r="E149" s="84">
        <v>1.2851041666666667</v>
      </c>
      <c r="F149" s="36">
        <v>0</v>
      </c>
      <c r="G149" s="36">
        <v>1</v>
      </c>
      <c r="H149" s="41">
        <f t="shared" si="50"/>
        <v>3.0842499999999999</v>
      </c>
      <c r="I149" s="68">
        <f t="shared" si="51"/>
        <v>6.5</v>
      </c>
      <c r="L149">
        <v>6.5</v>
      </c>
      <c r="M149" s="50">
        <f t="shared" si="52"/>
        <v>1.2851041666666667</v>
      </c>
    </row>
    <row r="150" spans="1:13" x14ac:dyDescent="0.2">
      <c r="A150" t="s">
        <v>231</v>
      </c>
      <c r="B150" s="19">
        <f>G$30*E150</f>
        <v>0.26350684931506851</v>
      </c>
      <c r="C150" s="19">
        <f>H$30*F150</f>
        <v>6</v>
      </c>
      <c r="D150" s="19">
        <f>I$30*G150</f>
        <v>0</v>
      </c>
      <c r="E150" s="83">
        <v>0.22900000000000001</v>
      </c>
      <c r="F150" s="38">
        <v>1</v>
      </c>
      <c r="G150" s="38">
        <v>0</v>
      </c>
      <c r="H150" s="37">
        <f>B150*3.65</f>
        <v>0.9618000000000001</v>
      </c>
      <c r="I150" s="68">
        <f>B150/0.33</f>
        <v>0.7985056039850561</v>
      </c>
      <c r="L150">
        <v>0.8</v>
      </c>
      <c r="M150" s="50">
        <f>(L150*C$30)/G$30</f>
        <v>0.2294285714285714</v>
      </c>
    </row>
    <row r="151" spans="1:13" x14ac:dyDescent="0.2">
      <c r="A151" t="s">
        <v>232</v>
      </c>
      <c r="B151" s="19">
        <f t="shared" ref="B151:B159" si="53">G$30*E151</f>
        <v>0.39583561643835619</v>
      </c>
      <c r="C151" s="19">
        <f t="shared" ref="C151:C159" si="54">H$30*F151</f>
        <v>4.8600000000000003</v>
      </c>
      <c r="D151" s="19">
        <f t="shared" ref="D151:D159" si="55">I$30*G151</f>
        <v>1.0449999999999999</v>
      </c>
      <c r="E151" s="83">
        <v>0.34399999999999997</v>
      </c>
      <c r="F151" s="36">
        <v>0.81</v>
      </c>
      <c r="G151" s="36">
        <v>0.19</v>
      </c>
      <c r="H151" s="37">
        <f t="shared" ref="H151:H159" si="56">B151*3.65</f>
        <v>1.4448000000000001</v>
      </c>
      <c r="I151" s="68">
        <f t="shared" ref="I151:I159" si="57">B151/0.33</f>
        <v>1.1995018679950187</v>
      </c>
      <c r="L151">
        <v>1.2</v>
      </c>
      <c r="M151" s="50">
        <f>(L151*C$30)/G$30</f>
        <v>0.34414285714285714</v>
      </c>
    </row>
    <row r="152" spans="1:13" x14ac:dyDescent="0.2">
      <c r="A152" t="s">
        <v>233</v>
      </c>
      <c r="B152" s="19">
        <f t="shared" si="53"/>
        <v>0.39583561643835619</v>
      </c>
      <c r="C152" s="19">
        <f t="shared" si="54"/>
        <v>3.7199999999999998</v>
      </c>
      <c r="D152" s="19">
        <f t="shared" si="55"/>
        <v>2.09</v>
      </c>
      <c r="E152" s="83">
        <v>0.34399999999999997</v>
      </c>
      <c r="F152" s="36">
        <v>0.62</v>
      </c>
      <c r="G152" s="36">
        <v>0.38</v>
      </c>
      <c r="H152" s="37">
        <f t="shared" si="56"/>
        <v>1.4448000000000001</v>
      </c>
      <c r="I152" s="68">
        <f t="shared" si="57"/>
        <v>1.1995018679950187</v>
      </c>
      <c r="L152">
        <v>1.2</v>
      </c>
      <c r="M152" s="50">
        <f t="shared" ref="M152:M159" si="58">(L152*C$30)/G$30</f>
        <v>0.34414285714285714</v>
      </c>
    </row>
    <row r="153" spans="1:13" x14ac:dyDescent="0.2">
      <c r="A153" t="s">
        <v>234</v>
      </c>
      <c r="B153" s="19">
        <f t="shared" si="53"/>
        <v>0.39583561643835619</v>
      </c>
      <c r="C153" s="19">
        <f t="shared" si="54"/>
        <v>4.0200000000000005</v>
      </c>
      <c r="D153" s="19">
        <f t="shared" si="55"/>
        <v>1.8150000000000002</v>
      </c>
      <c r="E153" s="83">
        <v>0.34399999999999997</v>
      </c>
      <c r="F153" s="36">
        <v>0.67</v>
      </c>
      <c r="G153" s="36">
        <v>0.33</v>
      </c>
      <c r="H153" s="37">
        <f t="shared" si="56"/>
        <v>1.4448000000000001</v>
      </c>
      <c r="I153" s="68">
        <f t="shared" si="57"/>
        <v>1.1995018679950187</v>
      </c>
      <c r="L153">
        <v>1.2</v>
      </c>
      <c r="M153" s="50">
        <f t="shared" si="58"/>
        <v>0.34414285714285714</v>
      </c>
    </row>
    <row r="154" spans="1:13" x14ac:dyDescent="0.2">
      <c r="A154" t="s">
        <v>235</v>
      </c>
      <c r="B154" s="19">
        <f t="shared" si="53"/>
        <v>0.46257534246575349</v>
      </c>
      <c r="C154" s="19">
        <f t="shared" si="54"/>
        <v>2.88</v>
      </c>
      <c r="D154" s="19">
        <f t="shared" si="55"/>
        <v>2.8600000000000003</v>
      </c>
      <c r="E154" s="83">
        <v>0.40200000000000002</v>
      </c>
      <c r="F154" s="36">
        <v>0.48</v>
      </c>
      <c r="G154" s="36">
        <v>0.52</v>
      </c>
      <c r="H154" s="37">
        <f t="shared" si="56"/>
        <v>1.6884000000000001</v>
      </c>
      <c r="I154" s="68">
        <f t="shared" si="57"/>
        <v>1.4017434620174347</v>
      </c>
      <c r="L154">
        <v>1.4</v>
      </c>
      <c r="M154" s="50">
        <f t="shared" si="58"/>
        <v>0.40149999999999991</v>
      </c>
    </row>
    <row r="155" spans="1:13" x14ac:dyDescent="0.2">
      <c r="A155" t="s">
        <v>236</v>
      </c>
      <c r="B155" s="19">
        <f t="shared" si="53"/>
        <v>0.59375342465753433</v>
      </c>
      <c r="C155" s="19">
        <f t="shared" si="54"/>
        <v>1.7999999999999998</v>
      </c>
      <c r="D155" s="19">
        <f t="shared" si="55"/>
        <v>3.8499999999999996</v>
      </c>
      <c r="E155" s="83">
        <v>0.51600000000000001</v>
      </c>
      <c r="F155" s="36">
        <v>0.3</v>
      </c>
      <c r="G155" s="36">
        <v>0.7</v>
      </c>
      <c r="H155" s="37">
        <f t="shared" si="56"/>
        <v>2.1672000000000002</v>
      </c>
      <c r="I155" s="68">
        <f t="shared" si="57"/>
        <v>1.7992528019925282</v>
      </c>
      <c r="L155">
        <v>1.8</v>
      </c>
      <c r="M155" s="50">
        <f t="shared" si="58"/>
        <v>0.51621428571428574</v>
      </c>
    </row>
    <row r="156" spans="1:13" x14ac:dyDescent="0.2">
      <c r="A156" t="s">
        <v>237</v>
      </c>
      <c r="B156" s="19">
        <f t="shared" si="53"/>
        <v>1.2542465753424661</v>
      </c>
      <c r="C156" s="19">
        <f t="shared" si="54"/>
        <v>3</v>
      </c>
      <c r="D156" s="19">
        <f t="shared" si="55"/>
        <v>2.75</v>
      </c>
      <c r="E156" s="83">
        <v>1.0900000000000001</v>
      </c>
      <c r="F156" s="36">
        <v>0.5</v>
      </c>
      <c r="G156" s="36">
        <v>0.5</v>
      </c>
      <c r="H156" s="37">
        <f t="shared" si="56"/>
        <v>4.5780000000000012</v>
      </c>
      <c r="I156" s="68">
        <f t="shared" si="57"/>
        <v>3.800747198007473</v>
      </c>
      <c r="L156">
        <v>3.8</v>
      </c>
      <c r="M156" s="50">
        <f t="shared" si="58"/>
        <v>1.0897857142857141</v>
      </c>
    </row>
    <row r="157" spans="1:13" x14ac:dyDescent="0.2">
      <c r="A157" t="s">
        <v>238</v>
      </c>
      <c r="B157" s="19">
        <f t="shared" si="53"/>
        <v>1.5844931506849318</v>
      </c>
      <c r="C157" s="19">
        <f t="shared" si="54"/>
        <v>1.7999999999999998</v>
      </c>
      <c r="D157" s="19">
        <f t="shared" si="55"/>
        <v>3.8499999999999996</v>
      </c>
      <c r="E157" s="83">
        <v>1.377</v>
      </c>
      <c r="F157" s="36">
        <v>0.3</v>
      </c>
      <c r="G157" s="36">
        <v>0.7</v>
      </c>
      <c r="H157" s="37">
        <f t="shared" si="56"/>
        <v>5.7834000000000012</v>
      </c>
      <c r="I157" s="68">
        <f t="shared" si="57"/>
        <v>4.8014943960149443</v>
      </c>
      <c r="L157">
        <v>4.8</v>
      </c>
      <c r="M157" s="50">
        <f t="shared" si="58"/>
        <v>1.3765714285714286</v>
      </c>
    </row>
    <row r="158" spans="1:13" x14ac:dyDescent="0.2">
      <c r="A158" t="s">
        <v>239</v>
      </c>
      <c r="B158" s="19">
        <f t="shared" si="53"/>
        <v>1.5844931506849318</v>
      </c>
      <c r="C158" s="19">
        <f t="shared" si="54"/>
        <v>1.5</v>
      </c>
      <c r="D158" s="19">
        <f t="shared" si="55"/>
        <v>4.125</v>
      </c>
      <c r="E158" s="83">
        <v>1.377</v>
      </c>
      <c r="F158" s="36">
        <v>0.25</v>
      </c>
      <c r="G158" s="36">
        <v>0.75</v>
      </c>
      <c r="H158" s="37">
        <f t="shared" si="56"/>
        <v>5.7834000000000012</v>
      </c>
      <c r="I158" s="68">
        <f t="shared" si="57"/>
        <v>4.8014943960149443</v>
      </c>
      <c r="L158">
        <v>4.8</v>
      </c>
      <c r="M158" s="50">
        <f t="shared" si="58"/>
        <v>1.3765714285714286</v>
      </c>
    </row>
    <row r="159" spans="1:13" ht="13.5" thickBot="1" x14ac:dyDescent="0.25">
      <c r="A159" s="2" t="s">
        <v>240</v>
      </c>
      <c r="B159" s="43">
        <f t="shared" si="53"/>
        <v>2.1448767123287675</v>
      </c>
      <c r="C159" s="43">
        <f t="shared" si="54"/>
        <v>0</v>
      </c>
      <c r="D159" s="43">
        <f t="shared" si="55"/>
        <v>5.5</v>
      </c>
      <c r="E159" s="84">
        <v>1.8640000000000001</v>
      </c>
      <c r="F159" s="36">
        <v>0</v>
      </c>
      <c r="G159" s="36">
        <v>1</v>
      </c>
      <c r="H159" s="41">
        <f t="shared" si="56"/>
        <v>7.8288000000000011</v>
      </c>
      <c r="I159" s="68">
        <f t="shared" si="57"/>
        <v>6.4996264009962648</v>
      </c>
      <c r="L159">
        <v>6.5</v>
      </c>
      <c r="M159" s="50">
        <f t="shared" si="58"/>
        <v>1.8641071428571425</v>
      </c>
    </row>
    <row r="160" spans="1:13" x14ac:dyDescent="0.2">
      <c r="A160" s="7" t="s">
        <v>241</v>
      </c>
      <c r="B160" s="19">
        <f>G$31*E160</f>
        <v>0.48</v>
      </c>
      <c r="C160" s="19">
        <f>H$31*F160</f>
        <v>17.600000000000001</v>
      </c>
      <c r="D160" s="19">
        <f>I$31*G160</f>
        <v>0</v>
      </c>
      <c r="E160" s="82">
        <v>0.1095</v>
      </c>
      <c r="F160" s="38">
        <v>1</v>
      </c>
      <c r="G160" s="38">
        <v>0</v>
      </c>
      <c r="H160" s="37">
        <f t="shared" ref="H160:H172" si="59">B160*3.65</f>
        <v>1.752</v>
      </c>
      <c r="I160" s="68">
        <f>B160/0.6</f>
        <v>0.8</v>
      </c>
      <c r="L160">
        <v>0.8</v>
      </c>
      <c r="M160" s="50">
        <f>(L160*C$31)/G$31</f>
        <v>0.1095</v>
      </c>
    </row>
    <row r="161" spans="1:13" x14ac:dyDescent="0.2">
      <c r="A161" s="7" t="s">
        <v>242</v>
      </c>
      <c r="B161" s="19">
        <f t="shared" ref="B161:B171" si="60">G$31*E161</f>
        <v>0.72</v>
      </c>
      <c r="C161" s="19">
        <f>H$31*F161</f>
        <v>14.256000000000002</v>
      </c>
      <c r="D161" s="19">
        <f t="shared" ref="D161:D171" si="61">I$31*G161</f>
        <v>3.04</v>
      </c>
      <c r="E161" s="83">
        <v>0.16425000000000001</v>
      </c>
      <c r="F161" s="36">
        <v>0.81</v>
      </c>
      <c r="G161" s="36">
        <v>0.19</v>
      </c>
      <c r="H161" s="37">
        <f t="shared" si="59"/>
        <v>2.6279999999999997</v>
      </c>
      <c r="I161" s="68">
        <f t="shared" ref="I161:I172" si="62">B161/0.6</f>
        <v>1.2</v>
      </c>
      <c r="L161">
        <v>1.2</v>
      </c>
      <c r="M161" s="50">
        <f t="shared" ref="M161:M172" si="63">(L161*C$31)/G$31</f>
        <v>0.16425000000000001</v>
      </c>
    </row>
    <row r="162" spans="1:13" x14ac:dyDescent="0.2">
      <c r="A162" s="7" t="s">
        <v>243</v>
      </c>
      <c r="B162" s="19">
        <f t="shared" si="60"/>
        <v>0.72</v>
      </c>
      <c r="C162" s="19">
        <f t="shared" ref="C162:C171" si="64">H$31*F162</f>
        <v>10.912000000000001</v>
      </c>
      <c r="D162" s="19">
        <f t="shared" si="61"/>
        <v>6.08</v>
      </c>
      <c r="E162" s="83">
        <v>0.16425000000000001</v>
      </c>
      <c r="F162" s="36">
        <v>0.62</v>
      </c>
      <c r="G162" s="36">
        <v>0.38</v>
      </c>
      <c r="H162" s="37">
        <f t="shared" si="59"/>
        <v>2.6279999999999997</v>
      </c>
      <c r="I162" s="68">
        <f t="shared" si="62"/>
        <v>1.2</v>
      </c>
      <c r="L162">
        <v>1.2</v>
      </c>
      <c r="M162" s="50">
        <f t="shared" si="63"/>
        <v>0.16425000000000001</v>
      </c>
    </row>
    <row r="163" spans="1:13" x14ac:dyDescent="0.2">
      <c r="A163" s="7" t="s">
        <v>244</v>
      </c>
      <c r="B163" s="19">
        <f t="shared" si="60"/>
        <v>0.72</v>
      </c>
      <c r="C163" s="19">
        <f t="shared" si="64"/>
        <v>11.792000000000002</v>
      </c>
      <c r="D163" s="19">
        <f t="shared" si="61"/>
        <v>5.28</v>
      </c>
      <c r="E163" s="83">
        <v>0.16425000000000001</v>
      </c>
      <c r="F163" s="36">
        <v>0.67</v>
      </c>
      <c r="G163" s="36">
        <v>0.33</v>
      </c>
      <c r="H163" s="37">
        <f t="shared" si="59"/>
        <v>2.6279999999999997</v>
      </c>
      <c r="I163" s="68">
        <f t="shared" si="62"/>
        <v>1.2</v>
      </c>
      <c r="L163">
        <v>1.2</v>
      </c>
      <c r="M163" s="50">
        <f t="shared" si="63"/>
        <v>0.16425000000000001</v>
      </c>
    </row>
    <row r="164" spans="1:13" x14ac:dyDescent="0.2">
      <c r="A164" s="7" t="s">
        <v>245</v>
      </c>
      <c r="B164" s="19">
        <f t="shared" si="60"/>
        <v>0.83999999999999986</v>
      </c>
      <c r="C164" s="19">
        <f t="shared" si="64"/>
        <v>8.4480000000000004</v>
      </c>
      <c r="D164" s="19">
        <f t="shared" si="61"/>
        <v>8.32</v>
      </c>
      <c r="E164" s="83">
        <v>0.19162499999999999</v>
      </c>
      <c r="F164" s="36">
        <v>0.48</v>
      </c>
      <c r="G164" s="36">
        <v>0.52</v>
      </c>
      <c r="H164" s="37">
        <f t="shared" si="59"/>
        <v>3.0659999999999994</v>
      </c>
      <c r="I164" s="68">
        <f t="shared" si="62"/>
        <v>1.4</v>
      </c>
      <c r="L164">
        <v>1.4</v>
      </c>
      <c r="M164" s="50">
        <f t="shared" si="63"/>
        <v>0.19162499999999999</v>
      </c>
    </row>
    <row r="165" spans="1:13" x14ac:dyDescent="0.2">
      <c r="A165" s="7" t="s">
        <v>246</v>
      </c>
      <c r="B165" s="19">
        <f t="shared" si="60"/>
        <v>1.08</v>
      </c>
      <c r="C165" s="19">
        <f t="shared" si="64"/>
        <v>5.28</v>
      </c>
      <c r="D165" s="19">
        <f t="shared" si="61"/>
        <v>11.2</v>
      </c>
      <c r="E165" s="83">
        <v>0.24637500000000004</v>
      </c>
      <c r="F165" s="36">
        <v>0.3</v>
      </c>
      <c r="G165" s="36">
        <v>0.7</v>
      </c>
      <c r="H165" s="37">
        <f t="shared" si="59"/>
        <v>3.9420000000000002</v>
      </c>
      <c r="I165" s="68">
        <f t="shared" si="62"/>
        <v>1.8000000000000003</v>
      </c>
      <c r="L165">
        <v>1.8</v>
      </c>
      <c r="M165" s="50">
        <f t="shared" si="63"/>
        <v>0.24637500000000004</v>
      </c>
    </row>
    <row r="166" spans="1:13" x14ac:dyDescent="0.2">
      <c r="A166" s="7" t="s">
        <v>247</v>
      </c>
      <c r="B166" s="19">
        <f t="shared" si="60"/>
        <v>2.2799999999999998</v>
      </c>
      <c r="C166" s="19">
        <f t="shared" si="64"/>
        <v>8.8000000000000007</v>
      </c>
      <c r="D166" s="19">
        <f t="shared" si="61"/>
        <v>8</v>
      </c>
      <c r="E166" s="83">
        <v>0.52012499999999995</v>
      </c>
      <c r="F166" s="36">
        <v>0.5</v>
      </c>
      <c r="G166" s="36">
        <v>0.5</v>
      </c>
      <c r="H166" s="37">
        <f t="shared" si="59"/>
        <v>8.3219999999999992</v>
      </c>
      <c r="I166" s="68">
        <f>B166/0.6</f>
        <v>3.8</v>
      </c>
      <c r="L166">
        <v>3.8</v>
      </c>
      <c r="M166" s="50">
        <f t="shared" si="63"/>
        <v>0.52012499999999995</v>
      </c>
    </row>
    <row r="167" spans="1:13" x14ac:dyDescent="0.2">
      <c r="A167" s="7" t="s">
        <v>248</v>
      </c>
      <c r="B167" s="19">
        <f t="shared" si="60"/>
        <v>2.88</v>
      </c>
      <c r="C167" s="19">
        <f t="shared" si="64"/>
        <v>5.28</v>
      </c>
      <c r="D167" s="19">
        <f t="shared" si="61"/>
        <v>11.2</v>
      </c>
      <c r="E167" s="83">
        <v>0.65700000000000003</v>
      </c>
      <c r="F167" s="36">
        <v>0.3</v>
      </c>
      <c r="G167" s="36">
        <v>0.7</v>
      </c>
      <c r="H167" s="37">
        <f t="shared" si="59"/>
        <v>10.511999999999999</v>
      </c>
      <c r="I167" s="68">
        <f t="shared" si="62"/>
        <v>4.8</v>
      </c>
      <c r="L167">
        <v>4.8</v>
      </c>
      <c r="M167" s="50">
        <f t="shared" si="63"/>
        <v>0.65700000000000003</v>
      </c>
    </row>
    <row r="168" spans="1:13" x14ac:dyDescent="0.2">
      <c r="A168" s="7" t="s">
        <v>249</v>
      </c>
      <c r="B168" s="19">
        <f t="shared" si="60"/>
        <v>2.88</v>
      </c>
      <c r="C168" s="19">
        <f t="shared" si="64"/>
        <v>4.4000000000000004</v>
      </c>
      <c r="D168" s="19">
        <f t="shared" si="61"/>
        <v>12</v>
      </c>
      <c r="E168" s="83">
        <v>0.65700000000000003</v>
      </c>
      <c r="F168" s="36">
        <v>0.25</v>
      </c>
      <c r="G168" s="36">
        <v>0.75</v>
      </c>
      <c r="H168" s="37">
        <f t="shared" si="59"/>
        <v>10.511999999999999</v>
      </c>
      <c r="I168" s="68">
        <f t="shared" si="62"/>
        <v>4.8</v>
      </c>
      <c r="L168">
        <v>4.8</v>
      </c>
      <c r="M168" s="50">
        <f t="shared" si="63"/>
        <v>0.65700000000000003</v>
      </c>
    </row>
    <row r="169" spans="1:13" x14ac:dyDescent="0.2">
      <c r="A169" s="7" t="s">
        <v>250</v>
      </c>
      <c r="B169" s="19">
        <f t="shared" si="60"/>
        <v>3.9</v>
      </c>
      <c r="C169" s="19">
        <f t="shared" si="64"/>
        <v>0</v>
      </c>
      <c r="D169" s="19">
        <f t="shared" si="61"/>
        <v>16</v>
      </c>
      <c r="E169" s="83">
        <v>0.88968750000000008</v>
      </c>
      <c r="F169" s="36">
        <v>0</v>
      </c>
      <c r="G169" s="36">
        <v>1</v>
      </c>
      <c r="H169" s="37">
        <f t="shared" si="59"/>
        <v>14.234999999999999</v>
      </c>
      <c r="I169" s="68">
        <f t="shared" si="62"/>
        <v>6.5</v>
      </c>
      <c r="L169">
        <v>6.5</v>
      </c>
      <c r="M169" s="50">
        <f t="shared" si="63"/>
        <v>0.88968750000000008</v>
      </c>
    </row>
    <row r="170" spans="1:13" x14ac:dyDescent="0.2">
      <c r="A170" s="7" t="s">
        <v>251</v>
      </c>
      <c r="B170" s="19">
        <f t="shared" si="60"/>
        <v>0.48</v>
      </c>
      <c r="C170" s="19">
        <f t="shared" si="64"/>
        <v>17.600000000000001</v>
      </c>
      <c r="D170" s="19">
        <f t="shared" si="61"/>
        <v>0</v>
      </c>
      <c r="E170" s="83">
        <v>0.1095</v>
      </c>
      <c r="F170" s="36">
        <v>1</v>
      </c>
      <c r="G170" s="36">
        <v>0</v>
      </c>
      <c r="H170" s="37">
        <f t="shared" si="59"/>
        <v>1.752</v>
      </c>
      <c r="I170" s="68">
        <f t="shared" si="62"/>
        <v>0.8</v>
      </c>
      <c r="L170">
        <v>0.8</v>
      </c>
      <c r="M170" s="50">
        <f t="shared" si="63"/>
        <v>0.1095</v>
      </c>
    </row>
    <row r="171" spans="1:13" x14ac:dyDescent="0.2">
      <c r="A171" s="7" t="s">
        <v>252</v>
      </c>
      <c r="B171" s="19">
        <f t="shared" si="60"/>
        <v>0.83999999999999986</v>
      </c>
      <c r="C171" s="19">
        <f t="shared" si="64"/>
        <v>8.4480000000000004</v>
      </c>
      <c r="D171" s="19">
        <f t="shared" si="61"/>
        <v>8.32</v>
      </c>
      <c r="E171" s="83">
        <v>0.19162499999999999</v>
      </c>
      <c r="F171" s="36">
        <v>0.48</v>
      </c>
      <c r="G171" s="36">
        <v>0.52</v>
      </c>
      <c r="H171" s="37">
        <f t="shared" si="59"/>
        <v>3.0659999999999994</v>
      </c>
      <c r="I171" s="68">
        <f t="shared" si="62"/>
        <v>1.4</v>
      </c>
      <c r="L171">
        <v>1.4</v>
      </c>
      <c r="M171" s="50">
        <f t="shared" si="63"/>
        <v>0.19162499999999999</v>
      </c>
    </row>
    <row r="172" spans="1:13" ht="13.5" thickBot="1" x14ac:dyDescent="0.25">
      <c r="A172" s="9" t="s">
        <v>253</v>
      </c>
      <c r="B172" s="43">
        <f>G$31*E172</f>
        <v>1.38</v>
      </c>
      <c r="C172" s="43">
        <f>H$31*F172</f>
        <v>5.28</v>
      </c>
      <c r="D172" s="43">
        <f>I$31*G172</f>
        <v>11.2</v>
      </c>
      <c r="E172" s="84">
        <v>0.3148125</v>
      </c>
      <c r="F172" s="3">
        <v>0.3</v>
      </c>
      <c r="G172" s="3">
        <v>0.7</v>
      </c>
      <c r="H172" s="41">
        <f t="shared" si="59"/>
        <v>5.0369999999999999</v>
      </c>
      <c r="I172" s="68">
        <f t="shared" si="62"/>
        <v>2.2999999999999998</v>
      </c>
      <c r="L172">
        <v>2.2999999999999998</v>
      </c>
      <c r="M172" s="50">
        <f t="shared" si="63"/>
        <v>0.3148125</v>
      </c>
    </row>
    <row r="173" spans="1:13" x14ac:dyDescent="0.2">
      <c r="A173" s="7" t="s">
        <v>255</v>
      </c>
      <c r="B173" s="19">
        <f>G$32*E173</f>
        <v>0.10400000000000001</v>
      </c>
      <c r="C173" s="19">
        <f>H$32*F173</f>
        <v>4.5</v>
      </c>
      <c r="D173" s="19">
        <f>I$32*G173</f>
        <v>0</v>
      </c>
      <c r="E173" s="82">
        <v>3.4509090909090913E-2</v>
      </c>
      <c r="F173" s="38">
        <v>1</v>
      </c>
      <c r="G173" s="38">
        <v>0</v>
      </c>
      <c r="H173" s="37">
        <f t="shared" ref="H173:H202" si="65">B173*3.65</f>
        <v>0.37960000000000005</v>
      </c>
      <c r="I173" s="68">
        <f>B173/0.13</f>
        <v>0.8</v>
      </c>
      <c r="L173">
        <v>0.8</v>
      </c>
      <c r="M173" s="50">
        <f>(L173*C$32)/G$32</f>
        <v>3.4509090909090913E-2</v>
      </c>
    </row>
    <row r="174" spans="1:13" x14ac:dyDescent="0.2">
      <c r="A174" s="7" t="s">
        <v>256</v>
      </c>
      <c r="B174" s="19">
        <f t="shared" ref="B174:B182" si="66">G$32*E174</f>
        <v>0.156</v>
      </c>
      <c r="C174" s="19">
        <f t="shared" ref="C174:C182" si="67">H$32*F174</f>
        <v>3.6450000000000005</v>
      </c>
      <c r="D174" s="19">
        <f t="shared" ref="D174:D182" si="68">I$32*G174</f>
        <v>0.95</v>
      </c>
      <c r="E174" s="83">
        <v>5.1763636363636366E-2</v>
      </c>
      <c r="F174" s="36">
        <v>0.81</v>
      </c>
      <c r="G174" s="36">
        <v>0.19</v>
      </c>
      <c r="H174" s="37">
        <f t="shared" si="65"/>
        <v>0.56940000000000002</v>
      </c>
      <c r="I174" s="68">
        <f>B174/0.13</f>
        <v>1.2</v>
      </c>
      <c r="L174">
        <v>1.2</v>
      </c>
      <c r="M174" s="50">
        <f t="shared" ref="M174:M182" si="69">(L174*C$32)/G$32</f>
        <v>5.1763636363636366E-2</v>
      </c>
    </row>
    <row r="175" spans="1:13" x14ac:dyDescent="0.2">
      <c r="A175" s="7" t="s">
        <v>257</v>
      </c>
      <c r="B175" s="19">
        <f t="shared" si="66"/>
        <v>0.156</v>
      </c>
      <c r="C175" s="19">
        <f t="shared" si="67"/>
        <v>2.79</v>
      </c>
      <c r="D175" s="19">
        <f t="shared" si="68"/>
        <v>1.9</v>
      </c>
      <c r="E175" s="83">
        <v>5.1763636363636366E-2</v>
      </c>
      <c r="F175" s="36">
        <v>0.62</v>
      </c>
      <c r="G175" s="36">
        <v>0.38</v>
      </c>
      <c r="H175" s="37">
        <f t="shared" si="65"/>
        <v>0.56940000000000002</v>
      </c>
      <c r="I175" s="68">
        <f t="shared" ref="I175:I182" si="70">B175/0.13</f>
        <v>1.2</v>
      </c>
      <c r="L175">
        <v>1.2</v>
      </c>
      <c r="M175" s="50">
        <f t="shared" si="69"/>
        <v>5.1763636363636366E-2</v>
      </c>
    </row>
    <row r="176" spans="1:13" x14ac:dyDescent="0.2">
      <c r="A176" s="7" t="s">
        <v>258</v>
      </c>
      <c r="B176" s="19">
        <f t="shared" si="66"/>
        <v>0.156</v>
      </c>
      <c r="C176" s="19">
        <f t="shared" si="67"/>
        <v>3.0150000000000001</v>
      </c>
      <c r="D176" s="19">
        <f t="shared" si="68"/>
        <v>1.6500000000000001</v>
      </c>
      <c r="E176" s="83">
        <v>5.1763636363636366E-2</v>
      </c>
      <c r="F176" s="36">
        <v>0.67</v>
      </c>
      <c r="G176" s="36">
        <v>0.33</v>
      </c>
      <c r="H176" s="37">
        <f t="shared" si="65"/>
        <v>0.56940000000000002</v>
      </c>
      <c r="I176" s="68">
        <f t="shared" si="70"/>
        <v>1.2</v>
      </c>
      <c r="L176">
        <v>1.2</v>
      </c>
      <c r="M176" s="50">
        <f t="shared" si="69"/>
        <v>5.1763636363636366E-2</v>
      </c>
    </row>
    <row r="177" spans="1:14" x14ac:dyDescent="0.2">
      <c r="A177" s="7" t="s">
        <v>259</v>
      </c>
      <c r="B177" s="19">
        <f t="shared" si="66"/>
        <v>0.182</v>
      </c>
      <c r="C177" s="19">
        <f t="shared" si="67"/>
        <v>2.16</v>
      </c>
      <c r="D177" s="19">
        <f t="shared" si="68"/>
        <v>2.6</v>
      </c>
      <c r="E177" s="83">
        <v>6.0390909090909085E-2</v>
      </c>
      <c r="F177" s="36">
        <v>0.48</v>
      </c>
      <c r="G177" s="36">
        <v>0.52</v>
      </c>
      <c r="H177" s="37">
        <f t="shared" si="65"/>
        <v>0.6643</v>
      </c>
      <c r="I177" s="68">
        <f t="shared" si="70"/>
        <v>1.4</v>
      </c>
      <c r="L177">
        <v>1.4</v>
      </c>
      <c r="M177" s="50">
        <f t="shared" si="69"/>
        <v>6.0390909090909085E-2</v>
      </c>
    </row>
    <row r="178" spans="1:14" x14ac:dyDescent="0.2">
      <c r="A178" s="7" t="s">
        <v>260</v>
      </c>
      <c r="B178" s="19">
        <f t="shared" si="66"/>
        <v>0.23400000000000001</v>
      </c>
      <c r="C178" s="19">
        <f t="shared" si="67"/>
        <v>1.3499999999999999</v>
      </c>
      <c r="D178" s="19">
        <f t="shared" si="68"/>
        <v>3.5</v>
      </c>
      <c r="E178" s="83">
        <v>7.7645454545454545E-2</v>
      </c>
      <c r="F178" s="36">
        <v>0.3</v>
      </c>
      <c r="G178" s="36">
        <v>0.7</v>
      </c>
      <c r="H178" s="37">
        <f t="shared" si="65"/>
        <v>0.85410000000000008</v>
      </c>
      <c r="I178" s="68">
        <f t="shared" si="70"/>
        <v>1.8</v>
      </c>
      <c r="L178">
        <v>1.8</v>
      </c>
      <c r="M178" s="50">
        <f t="shared" si="69"/>
        <v>7.7645454545454545E-2</v>
      </c>
    </row>
    <row r="179" spans="1:14" x14ac:dyDescent="0.2">
      <c r="A179" s="7" t="s">
        <v>261</v>
      </c>
      <c r="B179" s="19">
        <f t="shared" si="66"/>
        <v>0.49400000000000005</v>
      </c>
      <c r="C179" s="19">
        <f t="shared" si="67"/>
        <v>2.25</v>
      </c>
      <c r="D179" s="19">
        <f t="shared" si="68"/>
        <v>2.5</v>
      </c>
      <c r="E179" s="83">
        <v>0.16391818181818182</v>
      </c>
      <c r="F179" s="36">
        <v>0.5</v>
      </c>
      <c r="G179" s="36">
        <v>0.5</v>
      </c>
      <c r="H179" s="37">
        <f t="shared" si="65"/>
        <v>1.8031000000000001</v>
      </c>
      <c r="I179" s="68">
        <f t="shared" si="70"/>
        <v>3.8000000000000003</v>
      </c>
      <c r="L179">
        <v>3.8</v>
      </c>
      <c r="M179" s="50">
        <f t="shared" si="69"/>
        <v>0.16391818181818182</v>
      </c>
    </row>
    <row r="180" spans="1:14" x14ac:dyDescent="0.2">
      <c r="A180" s="7" t="s">
        <v>262</v>
      </c>
      <c r="B180" s="19">
        <f t="shared" si="66"/>
        <v>0.624</v>
      </c>
      <c r="C180" s="19">
        <f t="shared" si="67"/>
        <v>1.3499999999999999</v>
      </c>
      <c r="D180" s="19">
        <f t="shared" si="68"/>
        <v>3.5</v>
      </c>
      <c r="E180" s="83">
        <v>0.20705454545454546</v>
      </c>
      <c r="F180" s="36">
        <v>0.3</v>
      </c>
      <c r="G180" s="36">
        <v>0.7</v>
      </c>
      <c r="H180" s="37">
        <f t="shared" si="65"/>
        <v>2.2776000000000001</v>
      </c>
      <c r="I180" s="68">
        <f t="shared" si="70"/>
        <v>4.8</v>
      </c>
      <c r="L180">
        <v>4.8</v>
      </c>
      <c r="M180" s="50">
        <f t="shared" si="69"/>
        <v>0.20705454545454546</v>
      </c>
    </row>
    <row r="181" spans="1:14" x14ac:dyDescent="0.2">
      <c r="A181" s="7" t="s">
        <v>263</v>
      </c>
      <c r="B181" s="19">
        <f t="shared" si="66"/>
        <v>0.624</v>
      </c>
      <c r="C181" s="19">
        <f t="shared" si="67"/>
        <v>1.125</v>
      </c>
      <c r="D181" s="19">
        <f t="shared" si="68"/>
        <v>3.75</v>
      </c>
      <c r="E181" s="83">
        <v>0.20705454545454546</v>
      </c>
      <c r="F181" s="36">
        <v>0.25</v>
      </c>
      <c r="G181" s="36">
        <v>0.75</v>
      </c>
      <c r="H181" s="37">
        <f t="shared" si="65"/>
        <v>2.2776000000000001</v>
      </c>
      <c r="I181" s="68">
        <f t="shared" si="70"/>
        <v>4.8</v>
      </c>
      <c r="L181">
        <v>4.8</v>
      </c>
      <c r="M181" s="50">
        <f t="shared" si="69"/>
        <v>0.20705454545454546</v>
      </c>
    </row>
    <row r="182" spans="1:14" ht="13.5" thickBot="1" x14ac:dyDescent="0.25">
      <c r="A182" s="9" t="s">
        <v>264</v>
      </c>
      <c r="B182" s="43">
        <f t="shared" si="66"/>
        <v>0.84499999999999986</v>
      </c>
      <c r="C182" s="43">
        <f t="shared" si="67"/>
        <v>0</v>
      </c>
      <c r="D182" s="43">
        <f t="shared" si="68"/>
        <v>5</v>
      </c>
      <c r="E182" s="83">
        <v>0.2803863636363636</v>
      </c>
      <c r="F182" s="36">
        <v>0</v>
      </c>
      <c r="G182" s="36">
        <v>1</v>
      </c>
      <c r="H182" s="41">
        <f t="shared" si="65"/>
        <v>3.0842499999999995</v>
      </c>
      <c r="I182" s="68">
        <f t="shared" si="70"/>
        <v>6.4999999999999991</v>
      </c>
      <c r="L182">
        <v>6.5</v>
      </c>
      <c r="M182" s="50">
        <f t="shared" si="69"/>
        <v>0.2803863636363636</v>
      </c>
      <c r="N182" t="s">
        <v>181</v>
      </c>
    </row>
    <row r="183" spans="1:14" x14ac:dyDescent="0.2">
      <c r="A183" s="7" t="s">
        <v>265</v>
      </c>
      <c r="B183" s="19">
        <f>G$33*E183</f>
        <v>0.21917808219178081</v>
      </c>
      <c r="C183" s="19">
        <f t="shared" ref="C183:D183" si="71">H$33*F183</f>
        <v>5.8</v>
      </c>
      <c r="D183" s="19">
        <f t="shared" si="71"/>
        <v>0</v>
      </c>
      <c r="E183" s="82">
        <v>0.05</v>
      </c>
      <c r="F183" s="38">
        <v>1</v>
      </c>
      <c r="G183" s="38">
        <v>0</v>
      </c>
      <c r="H183" s="37">
        <f t="shared" si="65"/>
        <v>0.79999999999999993</v>
      </c>
      <c r="I183" s="68">
        <f>B183/0.26</f>
        <v>0.84299262381454154</v>
      </c>
      <c r="L183">
        <v>0.8</v>
      </c>
      <c r="M183" s="50">
        <f>(L183*C$33)/G$33</f>
        <v>4.7450000000000006E-2</v>
      </c>
    </row>
    <row r="184" spans="1:14" x14ac:dyDescent="0.2">
      <c r="A184" s="7" t="s">
        <v>266</v>
      </c>
      <c r="B184" s="19">
        <f t="shared" ref="B184:B192" si="72">G$33*E184</f>
        <v>0.35068493150684932</v>
      </c>
      <c r="C184" s="19">
        <f t="shared" ref="C184:C192" si="73">H$33*F184</f>
        <v>4.6980000000000004</v>
      </c>
      <c r="D184" s="19">
        <f t="shared" ref="D184:D192" si="74">I$33*G184</f>
        <v>2.09</v>
      </c>
      <c r="E184" s="83">
        <v>0.08</v>
      </c>
      <c r="F184" s="36">
        <v>0.81</v>
      </c>
      <c r="G184" s="36">
        <v>0.19</v>
      </c>
      <c r="H184" s="37">
        <f t="shared" si="65"/>
        <v>1.28</v>
      </c>
      <c r="I184" s="68">
        <f t="shared" ref="I184:I192" si="75">B184/0.26</f>
        <v>1.3487881981032666</v>
      </c>
      <c r="L184">
        <v>1.2</v>
      </c>
      <c r="M184" s="50">
        <f t="shared" ref="M184:M191" si="76">(L184*C$33)/G$33</f>
        <v>7.1175000000000002E-2</v>
      </c>
    </row>
    <row r="185" spans="1:14" x14ac:dyDescent="0.2">
      <c r="A185" s="7" t="s">
        <v>267</v>
      </c>
      <c r="B185" s="19">
        <f t="shared" si="72"/>
        <v>0.52602739726027392</v>
      </c>
      <c r="C185" s="19">
        <f t="shared" si="73"/>
        <v>3.5960000000000001</v>
      </c>
      <c r="D185" s="19">
        <f t="shared" si="74"/>
        <v>4.18</v>
      </c>
      <c r="E185" s="83">
        <v>0.12</v>
      </c>
      <c r="F185" s="36">
        <v>0.62</v>
      </c>
      <c r="G185" s="36">
        <v>0.38</v>
      </c>
      <c r="H185" s="37">
        <f t="shared" si="65"/>
        <v>1.9199999999999997</v>
      </c>
      <c r="I185" s="68">
        <f t="shared" si="75"/>
        <v>2.0231822971548996</v>
      </c>
      <c r="L185">
        <v>1.2</v>
      </c>
      <c r="M185" s="50">
        <f t="shared" si="76"/>
        <v>7.1175000000000002E-2</v>
      </c>
    </row>
    <row r="186" spans="1:14" x14ac:dyDescent="0.2">
      <c r="A186" s="7" t="s">
        <v>268</v>
      </c>
      <c r="B186" s="19">
        <f t="shared" si="72"/>
        <v>0.56986301369863013</v>
      </c>
      <c r="C186" s="19">
        <f t="shared" si="73"/>
        <v>3.8860000000000001</v>
      </c>
      <c r="D186" s="19">
        <f t="shared" si="74"/>
        <v>3.6300000000000003</v>
      </c>
      <c r="E186" s="83">
        <v>0.13</v>
      </c>
      <c r="F186" s="36">
        <v>0.67</v>
      </c>
      <c r="G186" s="36">
        <v>0.33</v>
      </c>
      <c r="H186" s="37">
        <f t="shared" si="65"/>
        <v>2.08</v>
      </c>
      <c r="I186" s="68">
        <f t="shared" si="75"/>
        <v>2.1917808219178081</v>
      </c>
      <c r="L186">
        <v>1.2</v>
      </c>
      <c r="M186" s="50">
        <f t="shared" si="76"/>
        <v>7.1175000000000002E-2</v>
      </c>
    </row>
    <row r="187" spans="1:14" x14ac:dyDescent="0.2">
      <c r="A187" s="7" t="s">
        <v>269</v>
      </c>
      <c r="B187" s="19">
        <f t="shared" si="72"/>
        <v>0.65753424657534243</v>
      </c>
      <c r="C187" s="19">
        <f t="shared" si="73"/>
        <v>2.7839999999999998</v>
      </c>
      <c r="D187" s="19">
        <f t="shared" si="74"/>
        <v>5.7200000000000006</v>
      </c>
      <c r="E187" s="83">
        <v>0.15</v>
      </c>
      <c r="F187" s="36">
        <v>0.48</v>
      </c>
      <c r="G187" s="36">
        <v>0.52</v>
      </c>
      <c r="H187" s="37">
        <f t="shared" si="65"/>
        <v>2.4</v>
      </c>
      <c r="I187" s="68">
        <f t="shared" si="75"/>
        <v>2.5289778714436246</v>
      </c>
      <c r="L187">
        <v>1.4</v>
      </c>
      <c r="M187" s="50">
        <f t="shared" si="76"/>
        <v>8.30375E-2</v>
      </c>
    </row>
    <row r="188" spans="1:14" x14ac:dyDescent="0.2">
      <c r="A188" s="7" t="s">
        <v>270</v>
      </c>
      <c r="B188" s="19">
        <f t="shared" si="72"/>
        <v>0.74520547945205484</v>
      </c>
      <c r="C188" s="19">
        <f t="shared" si="73"/>
        <v>1.74</v>
      </c>
      <c r="D188" s="19">
        <f t="shared" si="74"/>
        <v>7.6999999999999993</v>
      </c>
      <c r="E188" s="83">
        <v>0.17</v>
      </c>
      <c r="F188" s="36">
        <v>0.3</v>
      </c>
      <c r="G188" s="36">
        <v>0.7</v>
      </c>
      <c r="H188" s="37">
        <f t="shared" si="65"/>
        <v>2.72</v>
      </c>
      <c r="I188" s="68">
        <f t="shared" si="75"/>
        <v>2.8661749209694416</v>
      </c>
      <c r="L188">
        <v>1.8</v>
      </c>
      <c r="M188" s="50">
        <f t="shared" si="76"/>
        <v>0.10676250000000001</v>
      </c>
    </row>
    <row r="189" spans="1:14" x14ac:dyDescent="0.2">
      <c r="A189" s="7" t="s">
        <v>271</v>
      </c>
      <c r="B189" s="19">
        <f t="shared" si="72"/>
        <v>1.4904109589041097</v>
      </c>
      <c r="C189" s="19">
        <f t="shared" si="73"/>
        <v>2.9</v>
      </c>
      <c r="D189" s="19">
        <f t="shared" si="74"/>
        <v>5.5</v>
      </c>
      <c r="E189" s="83">
        <v>0.34</v>
      </c>
      <c r="F189" s="36">
        <v>0.5</v>
      </c>
      <c r="G189" s="36">
        <v>0.5</v>
      </c>
      <c r="H189" s="37">
        <f t="shared" si="65"/>
        <v>5.44</v>
      </c>
      <c r="I189" s="68">
        <f t="shared" si="75"/>
        <v>5.7323498419388832</v>
      </c>
      <c r="L189">
        <v>3.8</v>
      </c>
      <c r="M189" s="50">
        <f t="shared" si="76"/>
        <v>0.22538750000000002</v>
      </c>
    </row>
    <row r="190" spans="1:14" x14ac:dyDescent="0.2">
      <c r="A190" s="7" t="s">
        <v>272</v>
      </c>
      <c r="B190" s="19">
        <f t="shared" si="72"/>
        <v>2.2356164383561641</v>
      </c>
      <c r="C190" s="19">
        <f t="shared" si="73"/>
        <v>1.74</v>
      </c>
      <c r="D190" s="19">
        <f t="shared" si="74"/>
        <v>7.6999999999999993</v>
      </c>
      <c r="E190" s="83">
        <v>0.51</v>
      </c>
      <c r="F190" s="36">
        <v>0.3</v>
      </c>
      <c r="G190" s="36">
        <v>0.7</v>
      </c>
      <c r="H190" s="37">
        <f t="shared" si="65"/>
        <v>8.1599999999999984</v>
      </c>
      <c r="I190" s="68">
        <f t="shared" si="75"/>
        <v>8.5985247629083226</v>
      </c>
      <c r="L190">
        <v>4.8</v>
      </c>
      <c r="M190" s="50">
        <f t="shared" si="76"/>
        <v>0.28470000000000001</v>
      </c>
    </row>
    <row r="191" spans="1:14" x14ac:dyDescent="0.2">
      <c r="A191" s="7" t="s">
        <v>273</v>
      </c>
      <c r="B191" s="19">
        <f t="shared" si="72"/>
        <v>2.0164383561643837</v>
      </c>
      <c r="C191" s="19">
        <f t="shared" si="73"/>
        <v>1.45</v>
      </c>
      <c r="D191" s="19">
        <f t="shared" si="74"/>
        <v>8.25</v>
      </c>
      <c r="E191" s="83">
        <v>0.46</v>
      </c>
      <c r="F191" s="36">
        <v>0.25</v>
      </c>
      <c r="G191" s="36">
        <v>0.75</v>
      </c>
      <c r="H191" s="37">
        <f t="shared" si="65"/>
        <v>7.36</v>
      </c>
      <c r="I191" s="68">
        <f t="shared" si="75"/>
        <v>7.7555321390937833</v>
      </c>
      <c r="L191">
        <v>4.8</v>
      </c>
      <c r="M191" s="50">
        <f t="shared" si="76"/>
        <v>0.28470000000000001</v>
      </c>
    </row>
    <row r="192" spans="1:14" ht="13.5" thickBot="1" x14ac:dyDescent="0.25">
      <c r="A192" s="9" t="s">
        <v>274</v>
      </c>
      <c r="B192" s="43">
        <f t="shared" si="72"/>
        <v>4.3835616438356162</v>
      </c>
      <c r="C192" s="43">
        <f t="shared" si="73"/>
        <v>0</v>
      </c>
      <c r="D192" s="43">
        <f t="shared" si="74"/>
        <v>11</v>
      </c>
      <c r="E192" s="84">
        <v>1</v>
      </c>
      <c r="F192" s="3">
        <v>0</v>
      </c>
      <c r="G192" s="3">
        <v>1</v>
      </c>
      <c r="H192" s="41">
        <f t="shared" si="65"/>
        <v>15.999999999999998</v>
      </c>
      <c r="I192" s="68">
        <f t="shared" si="75"/>
        <v>16.859852476290833</v>
      </c>
      <c r="L192">
        <v>6.5</v>
      </c>
      <c r="M192" s="50">
        <f>(L192*C$33)/G$33</f>
        <v>0.38553124999999999</v>
      </c>
    </row>
    <row r="193" spans="1:13" x14ac:dyDescent="0.2">
      <c r="A193" s="7" t="s">
        <v>275</v>
      </c>
      <c r="B193" s="19">
        <f t="shared" ref="B193:D193" si="77">G$34*E193</f>
        <v>0.27999999999999997</v>
      </c>
      <c r="C193" s="19">
        <f t="shared" si="77"/>
        <v>10</v>
      </c>
      <c r="D193" s="19">
        <f t="shared" si="77"/>
        <v>0</v>
      </c>
      <c r="E193" s="83">
        <v>6.3875000000000001E-2</v>
      </c>
      <c r="F193" s="36">
        <v>1</v>
      </c>
      <c r="G193" s="36">
        <v>0</v>
      </c>
      <c r="H193" s="37">
        <f t="shared" si="65"/>
        <v>1.0219999999999998</v>
      </c>
      <c r="I193" s="68">
        <f>B193/0.35</f>
        <v>0.79999999999999993</v>
      </c>
      <c r="L193">
        <v>0.8</v>
      </c>
      <c r="M193" s="50">
        <f>(L193*C$34)/G$34</f>
        <v>6.3875000000000001E-2</v>
      </c>
    </row>
    <row r="194" spans="1:13" x14ac:dyDescent="0.2">
      <c r="A194" s="7" t="s">
        <v>276</v>
      </c>
      <c r="B194" s="19">
        <f t="shared" ref="B194:B202" si="78">G$34*E194</f>
        <v>0.41999999999999993</v>
      </c>
      <c r="C194" s="19">
        <f t="shared" ref="C194:C202" si="79">H$34*F194</f>
        <v>8.1000000000000014</v>
      </c>
      <c r="D194" s="19">
        <f t="shared" ref="D194:D200" si="80">I$34*G194</f>
        <v>2.09</v>
      </c>
      <c r="E194" s="83">
        <v>9.5812499999999995E-2</v>
      </c>
      <c r="F194" s="36">
        <v>0.81</v>
      </c>
      <c r="G194" s="36">
        <v>0.19</v>
      </c>
      <c r="H194" s="37">
        <f t="shared" si="65"/>
        <v>1.5329999999999997</v>
      </c>
      <c r="I194" s="68">
        <f>B194/0.35</f>
        <v>1.2</v>
      </c>
      <c r="L194">
        <v>1.2</v>
      </c>
      <c r="M194" s="50">
        <f t="shared" ref="M194:M202" si="81">(L194*C$34)/G$34</f>
        <v>9.5812499999999995E-2</v>
      </c>
    </row>
    <row r="195" spans="1:13" x14ac:dyDescent="0.2">
      <c r="A195" s="7" t="s">
        <v>277</v>
      </c>
      <c r="B195" s="19">
        <f t="shared" si="78"/>
        <v>0.41999999999999993</v>
      </c>
      <c r="C195" s="19">
        <f t="shared" si="79"/>
        <v>6.2</v>
      </c>
      <c r="D195" s="19">
        <f t="shared" si="80"/>
        <v>4.18</v>
      </c>
      <c r="E195" s="83">
        <v>9.5812499999999995E-2</v>
      </c>
      <c r="F195" s="36">
        <v>0.62</v>
      </c>
      <c r="G195" s="36">
        <v>0.38</v>
      </c>
      <c r="H195" s="37">
        <f t="shared" si="65"/>
        <v>1.5329999999999997</v>
      </c>
      <c r="I195" s="68">
        <f t="shared" ref="I195:I202" si="82">B195/0.35</f>
        <v>1.2</v>
      </c>
      <c r="L195">
        <v>1.2</v>
      </c>
      <c r="M195" s="50">
        <f t="shared" si="81"/>
        <v>9.5812499999999995E-2</v>
      </c>
    </row>
    <row r="196" spans="1:13" x14ac:dyDescent="0.2">
      <c r="A196" s="7" t="s">
        <v>278</v>
      </c>
      <c r="B196" s="19">
        <f t="shared" si="78"/>
        <v>0.41999999999999993</v>
      </c>
      <c r="C196" s="19">
        <f t="shared" si="79"/>
        <v>6.7</v>
      </c>
      <c r="D196" s="19">
        <f t="shared" si="80"/>
        <v>3.6300000000000003</v>
      </c>
      <c r="E196" s="83">
        <v>9.5812499999999995E-2</v>
      </c>
      <c r="F196" s="36">
        <v>0.67</v>
      </c>
      <c r="G196" s="36">
        <v>0.33</v>
      </c>
      <c r="H196" s="37">
        <f t="shared" si="65"/>
        <v>1.5329999999999997</v>
      </c>
      <c r="I196" s="68">
        <f t="shared" si="82"/>
        <v>1.2</v>
      </c>
      <c r="L196">
        <v>1.2</v>
      </c>
      <c r="M196" s="50">
        <f t="shared" si="81"/>
        <v>9.5812499999999995E-2</v>
      </c>
    </row>
    <row r="197" spans="1:13" x14ac:dyDescent="0.2">
      <c r="A197" s="7" t="s">
        <v>279</v>
      </c>
      <c r="B197" s="19">
        <f t="shared" si="78"/>
        <v>0.48999999999999988</v>
      </c>
      <c r="C197" s="19">
        <f t="shared" si="79"/>
        <v>4.8</v>
      </c>
      <c r="D197" s="19">
        <f t="shared" si="80"/>
        <v>5.7200000000000006</v>
      </c>
      <c r="E197" s="83">
        <v>0.11178124999999998</v>
      </c>
      <c r="F197" s="36">
        <v>0.48</v>
      </c>
      <c r="G197" s="36">
        <v>0.52</v>
      </c>
      <c r="H197" s="37">
        <f t="shared" si="65"/>
        <v>1.7884999999999995</v>
      </c>
      <c r="I197" s="68">
        <f t="shared" si="82"/>
        <v>1.3999999999999997</v>
      </c>
      <c r="L197">
        <v>1.4</v>
      </c>
      <c r="M197" s="50">
        <f t="shared" si="81"/>
        <v>0.11178124999999998</v>
      </c>
    </row>
    <row r="198" spans="1:13" x14ac:dyDescent="0.2">
      <c r="A198" s="7" t="s">
        <v>280</v>
      </c>
      <c r="B198" s="19">
        <f t="shared" si="78"/>
        <v>0.63</v>
      </c>
      <c r="C198" s="19">
        <f t="shared" si="79"/>
        <v>3</v>
      </c>
      <c r="D198" s="19">
        <f t="shared" si="80"/>
        <v>7.6999999999999993</v>
      </c>
      <c r="E198" s="83">
        <v>0.14371875000000001</v>
      </c>
      <c r="F198" s="36">
        <v>0.3</v>
      </c>
      <c r="G198" s="36">
        <v>0.7</v>
      </c>
      <c r="H198" s="37">
        <f t="shared" si="65"/>
        <v>2.2995000000000001</v>
      </c>
      <c r="I198" s="68">
        <f t="shared" si="82"/>
        <v>1.8</v>
      </c>
      <c r="L198">
        <v>1.8</v>
      </c>
      <c r="M198" s="50">
        <f t="shared" si="81"/>
        <v>0.14371875000000001</v>
      </c>
    </row>
    <row r="199" spans="1:13" x14ac:dyDescent="0.2">
      <c r="A199" s="7" t="s">
        <v>281</v>
      </c>
      <c r="B199" s="19">
        <f t="shared" si="78"/>
        <v>1.3299999999999998</v>
      </c>
      <c r="C199" s="19">
        <f t="shared" si="79"/>
        <v>5</v>
      </c>
      <c r="D199" s="19">
        <f t="shared" si="80"/>
        <v>5.5</v>
      </c>
      <c r="E199" s="83">
        <v>0.30340624999999999</v>
      </c>
      <c r="F199" s="36">
        <v>0.5</v>
      </c>
      <c r="G199" s="36">
        <v>0.5</v>
      </c>
      <c r="H199" s="37">
        <f t="shared" si="65"/>
        <v>4.8544999999999989</v>
      </c>
      <c r="I199" s="68">
        <f t="shared" si="82"/>
        <v>3.8</v>
      </c>
      <c r="L199">
        <v>3.8</v>
      </c>
      <c r="M199" s="50">
        <f t="shared" si="81"/>
        <v>0.30340624999999999</v>
      </c>
    </row>
    <row r="200" spans="1:13" x14ac:dyDescent="0.2">
      <c r="A200" s="7" t="s">
        <v>282</v>
      </c>
      <c r="B200" s="19">
        <f t="shared" si="78"/>
        <v>1.6799999999999997</v>
      </c>
      <c r="C200" s="19">
        <f t="shared" si="79"/>
        <v>3</v>
      </c>
      <c r="D200" s="19">
        <f t="shared" si="80"/>
        <v>7.6999999999999993</v>
      </c>
      <c r="E200" s="83">
        <v>0.38324999999999998</v>
      </c>
      <c r="F200" s="36">
        <v>0.3</v>
      </c>
      <c r="G200" s="36">
        <v>0.7</v>
      </c>
      <c r="H200" s="37">
        <f t="shared" si="65"/>
        <v>6.1319999999999988</v>
      </c>
      <c r="I200" s="68">
        <f t="shared" si="82"/>
        <v>4.8</v>
      </c>
      <c r="L200">
        <v>4.8</v>
      </c>
      <c r="M200" s="50">
        <f t="shared" si="81"/>
        <v>0.38324999999999998</v>
      </c>
    </row>
    <row r="201" spans="1:13" x14ac:dyDescent="0.2">
      <c r="A201" s="7" t="s">
        <v>283</v>
      </c>
      <c r="B201" s="19">
        <f t="shared" si="78"/>
        <v>1.6799999999999997</v>
      </c>
      <c r="C201" s="19">
        <f t="shared" si="79"/>
        <v>2.5</v>
      </c>
      <c r="D201" s="19">
        <f>I$34*G201</f>
        <v>8.25</v>
      </c>
      <c r="E201" s="83">
        <v>0.38324999999999998</v>
      </c>
      <c r="F201" s="36">
        <v>0.25</v>
      </c>
      <c r="G201" s="36">
        <v>0.75</v>
      </c>
      <c r="H201" s="37">
        <f t="shared" si="65"/>
        <v>6.1319999999999988</v>
      </c>
      <c r="I201" s="68">
        <f t="shared" si="82"/>
        <v>4.8</v>
      </c>
      <c r="L201">
        <v>4.8</v>
      </c>
      <c r="M201" s="50">
        <f t="shared" si="81"/>
        <v>0.38324999999999998</v>
      </c>
    </row>
    <row r="202" spans="1:13" ht="13.5" thickBot="1" x14ac:dyDescent="0.25">
      <c r="A202" s="9" t="s">
        <v>284</v>
      </c>
      <c r="B202" s="43">
        <f t="shared" si="78"/>
        <v>2.2749999999999999</v>
      </c>
      <c r="C202" s="43">
        <f t="shared" si="79"/>
        <v>0</v>
      </c>
      <c r="D202" s="43">
        <f>I$34*G202</f>
        <v>11</v>
      </c>
      <c r="E202" s="84">
        <v>0.51898437500000005</v>
      </c>
      <c r="F202" s="3">
        <v>0</v>
      </c>
      <c r="G202" s="3">
        <v>1</v>
      </c>
      <c r="H202" s="41">
        <f t="shared" si="65"/>
        <v>8.3037499999999991</v>
      </c>
      <c r="I202" s="68">
        <f t="shared" si="82"/>
        <v>6.5</v>
      </c>
      <c r="L202">
        <v>6.5</v>
      </c>
      <c r="M202" s="50">
        <f t="shared" si="81"/>
        <v>0.51898437500000005</v>
      </c>
    </row>
    <row r="203" spans="1:13" x14ac:dyDescent="0.2">
      <c r="A203" s="4" t="s">
        <v>310</v>
      </c>
      <c r="B203" s="24">
        <v>0</v>
      </c>
      <c r="C203" s="24" t="e">
        <f>#REF!*F203</f>
        <v>#REF!</v>
      </c>
      <c r="D203" s="24" t="e">
        <f>#REF!*G203</f>
        <v>#REF!</v>
      </c>
      <c r="E203" s="82">
        <v>0</v>
      </c>
      <c r="F203" s="38">
        <v>0</v>
      </c>
      <c r="G203" s="38">
        <v>1</v>
      </c>
      <c r="H203" s="39">
        <v>0</v>
      </c>
      <c r="I203" s="68">
        <f>H203/0.01</f>
        <v>0</v>
      </c>
    </row>
    <row r="204" spans="1:13" x14ac:dyDescent="0.2">
      <c r="A204" s="7" t="s">
        <v>311</v>
      </c>
      <c r="B204" s="19">
        <v>0</v>
      </c>
      <c r="C204" s="19" t="e">
        <f>#REF!*F204</f>
        <v>#REF!</v>
      </c>
      <c r="D204" s="19" t="e">
        <f>#REF!*G204</f>
        <v>#REF!</v>
      </c>
      <c r="E204" s="83">
        <v>0</v>
      </c>
      <c r="F204" s="36">
        <v>0</v>
      </c>
      <c r="G204" s="36">
        <v>0.56000000000000005</v>
      </c>
      <c r="H204" s="37">
        <v>0</v>
      </c>
      <c r="I204" s="68">
        <f t="shared" ref="I204:I206" si="83">H204/0.01</f>
        <v>0</v>
      </c>
    </row>
    <row r="205" spans="1:13" x14ac:dyDescent="0.2">
      <c r="A205" s="7" t="s">
        <v>312</v>
      </c>
      <c r="B205" s="19">
        <v>0</v>
      </c>
      <c r="C205" s="19" t="e">
        <f>#REF!*F205</f>
        <v>#REF!</v>
      </c>
      <c r="D205" s="19" t="e">
        <f>#REF!*G205</f>
        <v>#REF!</v>
      </c>
      <c r="E205" s="83">
        <v>0</v>
      </c>
      <c r="F205" s="36">
        <v>0</v>
      </c>
      <c r="G205" s="36">
        <v>1</v>
      </c>
      <c r="H205" s="37">
        <v>0</v>
      </c>
      <c r="I205" s="68">
        <f t="shared" si="83"/>
        <v>0</v>
      </c>
    </row>
    <row r="206" spans="1:13" x14ac:dyDescent="0.2">
      <c r="A206" s="7" t="s">
        <v>313</v>
      </c>
      <c r="B206" s="19">
        <v>0</v>
      </c>
      <c r="C206" s="19" t="e">
        <f>#REF!*F206</f>
        <v>#REF!</v>
      </c>
      <c r="D206" s="19" t="e">
        <f>#REF!*G206</f>
        <v>#REF!</v>
      </c>
      <c r="E206" s="83">
        <v>0</v>
      </c>
      <c r="F206" s="36">
        <v>0</v>
      </c>
      <c r="G206" s="36">
        <v>0.56000000000000005</v>
      </c>
      <c r="H206" s="37">
        <v>0</v>
      </c>
      <c r="I206" s="68">
        <f t="shared" si="83"/>
        <v>0</v>
      </c>
      <c r="L206" t="s">
        <v>181</v>
      </c>
    </row>
    <row r="207" spans="1:13" ht="12" customHeight="1" thickBot="1" x14ac:dyDescent="0.25">
      <c r="A207" s="9" t="s">
        <v>309</v>
      </c>
      <c r="B207" s="43">
        <v>0</v>
      </c>
      <c r="C207" s="43" t="e">
        <f>#REF!*F207</f>
        <v>#REF!</v>
      </c>
      <c r="D207" s="43" t="e">
        <f>#REF!*G207</f>
        <v>#REF!</v>
      </c>
      <c r="E207" s="84">
        <v>0</v>
      </c>
      <c r="F207" s="3">
        <v>0</v>
      </c>
      <c r="G207" s="3">
        <v>1</v>
      </c>
      <c r="H207" s="41">
        <v>0</v>
      </c>
      <c r="I207" s="68">
        <f>H207/0.004</f>
        <v>0</v>
      </c>
    </row>
    <row r="208" spans="1:13" x14ac:dyDescent="0.2">
      <c r="A208" s="7" t="s">
        <v>95</v>
      </c>
      <c r="B208" s="19" t="e">
        <f>#REF!*E208</f>
        <v>#REF!</v>
      </c>
      <c r="C208" s="19" t="e">
        <f>#REF!*F208</f>
        <v>#REF!</v>
      </c>
      <c r="D208" s="19" t="e">
        <f>#REF!*G208</f>
        <v>#REF!</v>
      </c>
      <c r="E208" s="83">
        <v>0</v>
      </c>
      <c r="F208" s="36">
        <v>1</v>
      </c>
      <c r="G208" s="36">
        <v>0</v>
      </c>
      <c r="H208" s="37" t="e">
        <f t="shared" ref="H208:H217" si="84">B208*3.65</f>
        <v>#REF!</v>
      </c>
      <c r="I208" s="68" t="e">
        <f>H208/0.17</f>
        <v>#REF!</v>
      </c>
    </row>
    <row r="209" spans="1:9" x14ac:dyDescent="0.2">
      <c r="A209" s="7" t="s">
        <v>96</v>
      </c>
      <c r="B209" s="19" t="e">
        <f>#REF!*E209</f>
        <v>#REF!</v>
      </c>
      <c r="C209" s="19" t="e">
        <f>#REF!*F209</f>
        <v>#REF!</v>
      </c>
      <c r="D209" s="19" t="e">
        <f>#REF!*G209</f>
        <v>#REF!</v>
      </c>
      <c r="E209" s="83">
        <v>0.25</v>
      </c>
      <c r="F209" s="36">
        <v>0.75</v>
      </c>
      <c r="G209" s="36">
        <v>0.25</v>
      </c>
      <c r="H209" s="37" t="e">
        <f t="shared" si="84"/>
        <v>#REF!</v>
      </c>
      <c r="I209" s="68" t="e">
        <f t="shared" ref="I209:I212" si="85">H209/0.17</f>
        <v>#REF!</v>
      </c>
    </row>
    <row r="210" spans="1:9" x14ac:dyDescent="0.2">
      <c r="A210" s="7" t="s">
        <v>97</v>
      </c>
      <c r="B210" s="19" t="e">
        <f>#REF!*E210</f>
        <v>#REF!</v>
      </c>
      <c r="C210" s="19" t="e">
        <f>#REF!*F210</f>
        <v>#REF!</v>
      </c>
      <c r="D210" s="19" t="e">
        <f>#REF!*G210</f>
        <v>#REF!</v>
      </c>
      <c r="E210" s="83">
        <v>0.5</v>
      </c>
      <c r="F210" s="36">
        <v>0.5</v>
      </c>
      <c r="G210" s="36">
        <v>0.5</v>
      </c>
      <c r="H210" s="37" t="e">
        <f t="shared" si="84"/>
        <v>#REF!</v>
      </c>
      <c r="I210" s="68" t="e">
        <f t="shared" si="85"/>
        <v>#REF!</v>
      </c>
    </row>
    <row r="211" spans="1:9" x14ac:dyDescent="0.2">
      <c r="A211" s="7" t="s">
        <v>98</v>
      </c>
      <c r="B211" s="19" t="e">
        <f>#REF!*E211</f>
        <v>#REF!</v>
      </c>
      <c r="C211" s="19" t="e">
        <f>#REF!*F211</f>
        <v>#REF!</v>
      </c>
      <c r="D211" s="19" t="e">
        <f>#REF!*G211</f>
        <v>#REF!</v>
      </c>
      <c r="E211" s="83">
        <v>0.75</v>
      </c>
      <c r="F211" s="36">
        <v>0.25</v>
      </c>
      <c r="G211" s="36">
        <v>0.75</v>
      </c>
      <c r="H211" s="37" t="e">
        <f t="shared" si="84"/>
        <v>#REF!</v>
      </c>
      <c r="I211" s="68" t="e">
        <f t="shared" si="85"/>
        <v>#REF!</v>
      </c>
    </row>
    <row r="212" spans="1:9" ht="13.5" thickBot="1" x14ac:dyDescent="0.25">
      <c r="A212" s="9" t="s">
        <v>99</v>
      </c>
      <c r="B212" s="43" t="e">
        <f>#REF!*E212</f>
        <v>#REF!</v>
      </c>
      <c r="C212" s="43" t="e">
        <f>#REF!*F212</f>
        <v>#REF!</v>
      </c>
      <c r="D212" s="43" t="e">
        <f>#REF!*G212</f>
        <v>#REF!</v>
      </c>
      <c r="E212" s="84">
        <v>1</v>
      </c>
      <c r="F212" s="3">
        <v>0</v>
      </c>
      <c r="G212" s="3">
        <v>1</v>
      </c>
      <c r="H212" s="41" t="e">
        <f t="shared" si="84"/>
        <v>#REF!</v>
      </c>
      <c r="I212" s="68" t="e">
        <f t="shared" si="85"/>
        <v>#REF!</v>
      </c>
    </row>
    <row r="213" spans="1:9" x14ac:dyDescent="0.2">
      <c r="A213" s="7" t="s">
        <v>105</v>
      </c>
      <c r="B213" s="19" t="e">
        <f>#REF!*E213</f>
        <v>#REF!</v>
      </c>
      <c r="C213" s="19" t="e">
        <f>#REF!*F213</f>
        <v>#REF!</v>
      </c>
      <c r="D213" s="19" t="e">
        <f>#REF!*G213</f>
        <v>#REF!</v>
      </c>
      <c r="E213" s="83">
        <v>0</v>
      </c>
      <c r="F213" s="36">
        <v>1</v>
      </c>
      <c r="G213" s="36">
        <v>0</v>
      </c>
      <c r="H213" s="37" t="e">
        <f t="shared" si="84"/>
        <v>#REF!</v>
      </c>
      <c r="I213" s="69"/>
    </row>
    <row r="214" spans="1:9" x14ac:dyDescent="0.2">
      <c r="A214" s="7" t="s">
        <v>106</v>
      </c>
      <c r="B214" s="19" t="e">
        <f>#REF!*E214</f>
        <v>#REF!</v>
      </c>
      <c r="C214" s="19" t="e">
        <f>#REF!*F214</f>
        <v>#REF!</v>
      </c>
      <c r="D214" s="19" t="e">
        <f>#REF!*G214</f>
        <v>#REF!</v>
      </c>
      <c r="E214" s="83">
        <v>0.25</v>
      </c>
      <c r="F214" s="36">
        <v>0.75</v>
      </c>
      <c r="G214" s="36">
        <v>0.25</v>
      </c>
      <c r="H214" s="37" t="e">
        <f t="shared" si="84"/>
        <v>#REF!</v>
      </c>
      <c r="I214" s="69"/>
    </row>
    <row r="215" spans="1:9" x14ac:dyDescent="0.2">
      <c r="A215" s="7" t="s">
        <v>107</v>
      </c>
      <c r="B215" s="19" t="e">
        <f>#REF!*E215</f>
        <v>#REF!</v>
      </c>
      <c r="C215" s="19" t="e">
        <f>#REF!*F215</f>
        <v>#REF!</v>
      </c>
      <c r="D215" s="19" t="e">
        <f>#REF!*G215</f>
        <v>#REF!</v>
      </c>
      <c r="E215" s="83">
        <v>0.5</v>
      </c>
      <c r="F215" s="36">
        <v>0.5</v>
      </c>
      <c r="G215" s="36">
        <v>0.5</v>
      </c>
      <c r="H215" s="37" t="e">
        <f t="shared" si="84"/>
        <v>#REF!</v>
      </c>
      <c r="I215" s="69"/>
    </row>
    <row r="216" spans="1:9" x14ac:dyDescent="0.2">
      <c r="A216" s="7" t="s">
        <v>108</v>
      </c>
      <c r="B216" s="19" t="e">
        <f>#REF!*E216</f>
        <v>#REF!</v>
      </c>
      <c r="C216" s="19" t="e">
        <f>#REF!*F216</f>
        <v>#REF!</v>
      </c>
      <c r="D216" s="19" t="e">
        <f>#REF!*G216</f>
        <v>#REF!</v>
      </c>
      <c r="E216" s="83">
        <v>0.75</v>
      </c>
      <c r="F216" s="36">
        <v>0.25</v>
      </c>
      <c r="G216" s="36">
        <v>0.75</v>
      </c>
      <c r="H216" s="37" t="e">
        <f t="shared" si="84"/>
        <v>#REF!</v>
      </c>
      <c r="I216" s="69"/>
    </row>
    <row r="217" spans="1:9" ht="13.5" thickBot="1" x14ac:dyDescent="0.25">
      <c r="A217" s="9" t="s">
        <v>109</v>
      </c>
      <c r="B217" s="43" t="e">
        <f>#REF!*E217</f>
        <v>#REF!</v>
      </c>
      <c r="C217" s="43" t="e">
        <f>#REF!*F217</f>
        <v>#REF!</v>
      </c>
      <c r="D217" s="43" t="e">
        <f>#REF!*G217</f>
        <v>#REF!</v>
      </c>
      <c r="E217" s="84">
        <v>1</v>
      </c>
      <c r="F217" s="3">
        <v>0</v>
      </c>
      <c r="G217" s="3">
        <v>1</v>
      </c>
      <c r="H217" s="41" t="e">
        <f t="shared" si="84"/>
        <v>#REF!</v>
      </c>
      <c r="I217" s="69"/>
    </row>
    <row r="218" spans="1:9" x14ac:dyDescent="0.2">
      <c r="A218" s="7" t="s">
        <v>110</v>
      </c>
      <c r="B218" s="19" t="e">
        <f>#REF!*E218</f>
        <v>#REF!</v>
      </c>
      <c r="C218" s="19" t="e">
        <f>#REF!*F218</f>
        <v>#REF!</v>
      </c>
      <c r="D218" s="19" t="e">
        <f>#REF!*G218</f>
        <v>#REF!</v>
      </c>
      <c r="E218" s="83">
        <v>0</v>
      </c>
      <c r="F218" s="36">
        <v>1</v>
      </c>
      <c r="G218" s="36">
        <v>0</v>
      </c>
      <c r="H218" s="37" t="e">
        <f t="shared" ref="H218:H254" si="86">B218*3.65</f>
        <v>#REF!</v>
      </c>
      <c r="I218" s="69"/>
    </row>
    <row r="219" spans="1:9" x14ac:dyDescent="0.2">
      <c r="A219" s="7" t="s">
        <v>111</v>
      </c>
      <c r="B219" s="19" t="e">
        <f>#REF!*E219</f>
        <v>#REF!</v>
      </c>
      <c r="C219" s="19" t="e">
        <f>#REF!*F219</f>
        <v>#REF!</v>
      </c>
      <c r="D219" s="19" t="e">
        <f>#REF!*G219</f>
        <v>#REF!</v>
      </c>
      <c r="E219" s="83">
        <v>0.25</v>
      </c>
      <c r="F219" s="36">
        <v>0.75</v>
      </c>
      <c r="G219" s="36">
        <v>0.25</v>
      </c>
      <c r="H219" s="37" t="e">
        <f t="shared" si="86"/>
        <v>#REF!</v>
      </c>
      <c r="I219" s="69"/>
    </row>
    <row r="220" spans="1:9" x14ac:dyDescent="0.2">
      <c r="A220" s="7" t="s">
        <v>112</v>
      </c>
      <c r="B220" s="19" t="e">
        <f>#REF!*E220</f>
        <v>#REF!</v>
      </c>
      <c r="C220" s="19" t="e">
        <f>#REF!*F220</f>
        <v>#REF!</v>
      </c>
      <c r="D220" s="19" t="e">
        <f>#REF!*G220</f>
        <v>#REF!</v>
      </c>
      <c r="E220" s="83">
        <v>0.5</v>
      </c>
      <c r="F220" s="36">
        <v>0.5</v>
      </c>
      <c r="G220" s="36">
        <v>0.5</v>
      </c>
      <c r="H220" s="37" t="e">
        <f t="shared" si="86"/>
        <v>#REF!</v>
      </c>
      <c r="I220" s="69"/>
    </row>
    <row r="221" spans="1:9" x14ac:dyDescent="0.2">
      <c r="A221" s="7" t="s">
        <v>113</v>
      </c>
      <c r="B221" s="19" t="e">
        <f>#REF!*E221</f>
        <v>#REF!</v>
      </c>
      <c r="C221" s="19" t="e">
        <f>#REF!*F221</f>
        <v>#REF!</v>
      </c>
      <c r="D221" s="19" t="e">
        <f>#REF!*G221</f>
        <v>#REF!</v>
      </c>
      <c r="E221" s="83">
        <v>0.75</v>
      </c>
      <c r="F221" s="36">
        <v>0.25</v>
      </c>
      <c r="G221" s="36">
        <v>0.75</v>
      </c>
      <c r="H221" s="37" t="e">
        <f t="shared" si="86"/>
        <v>#REF!</v>
      </c>
      <c r="I221" s="69"/>
    </row>
    <row r="222" spans="1:9" ht="13.5" thickBot="1" x14ac:dyDescent="0.25">
      <c r="A222" s="9" t="s">
        <v>114</v>
      </c>
      <c r="B222" s="43" t="e">
        <f>#REF!*E222</f>
        <v>#REF!</v>
      </c>
      <c r="C222" s="43" t="e">
        <f>#REF!*F222</f>
        <v>#REF!</v>
      </c>
      <c r="D222" s="43" t="e">
        <f>#REF!*G222</f>
        <v>#REF!</v>
      </c>
      <c r="E222" s="84">
        <v>1</v>
      </c>
      <c r="F222" s="3">
        <v>0</v>
      </c>
      <c r="G222" s="3">
        <v>1</v>
      </c>
      <c r="H222" s="41" t="e">
        <f t="shared" si="86"/>
        <v>#REF!</v>
      </c>
      <c r="I222" s="69"/>
    </row>
    <row r="223" spans="1:9" x14ac:dyDescent="0.2">
      <c r="A223" s="7" t="s">
        <v>115</v>
      </c>
      <c r="B223" s="19" t="e">
        <f>#REF!*E223</f>
        <v>#REF!</v>
      </c>
      <c r="C223" s="19" t="e">
        <f>#REF!*F223</f>
        <v>#REF!</v>
      </c>
      <c r="D223" s="19" t="e">
        <f>#REF!*G223</f>
        <v>#REF!</v>
      </c>
      <c r="E223" s="83">
        <v>0</v>
      </c>
      <c r="F223" s="36">
        <v>1</v>
      </c>
      <c r="G223" s="36">
        <v>0</v>
      </c>
      <c r="H223" s="37" t="e">
        <f t="shared" si="86"/>
        <v>#REF!</v>
      </c>
      <c r="I223" s="69"/>
    </row>
    <row r="224" spans="1:9" x14ac:dyDescent="0.2">
      <c r="A224" s="7" t="s">
        <v>116</v>
      </c>
      <c r="B224" s="19" t="e">
        <f>#REF!*E224</f>
        <v>#REF!</v>
      </c>
      <c r="C224" s="19" t="e">
        <f>#REF!*F224</f>
        <v>#REF!</v>
      </c>
      <c r="D224" s="19" t="e">
        <f>#REF!*G224</f>
        <v>#REF!</v>
      </c>
      <c r="E224" s="83">
        <v>0.25</v>
      </c>
      <c r="F224" s="36">
        <v>0.75</v>
      </c>
      <c r="G224" s="36">
        <v>0.25</v>
      </c>
      <c r="H224" s="37" t="e">
        <f t="shared" si="86"/>
        <v>#REF!</v>
      </c>
      <c r="I224" s="69"/>
    </row>
    <row r="225" spans="1:10" x14ac:dyDescent="0.2">
      <c r="A225" s="7" t="s">
        <v>117</v>
      </c>
      <c r="B225" s="19" t="e">
        <f>#REF!*E225</f>
        <v>#REF!</v>
      </c>
      <c r="C225" s="19" t="e">
        <f>#REF!*F225</f>
        <v>#REF!</v>
      </c>
      <c r="D225" s="19" t="e">
        <f>#REF!*G225</f>
        <v>#REF!</v>
      </c>
      <c r="E225" s="83">
        <v>0.5</v>
      </c>
      <c r="F225" s="36">
        <v>0.5</v>
      </c>
      <c r="G225" s="36">
        <v>0.5</v>
      </c>
      <c r="H225" s="37" t="e">
        <f t="shared" si="86"/>
        <v>#REF!</v>
      </c>
      <c r="I225" s="69"/>
    </row>
    <row r="226" spans="1:10" x14ac:dyDescent="0.2">
      <c r="A226" s="7" t="s">
        <v>118</v>
      </c>
      <c r="B226" s="19" t="e">
        <f>#REF!*E226</f>
        <v>#REF!</v>
      </c>
      <c r="C226" s="19" t="e">
        <f>#REF!*F226</f>
        <v>#REF!</v>
      </c>
      <c r="D226" s="19" t="e">
        <f>#REF!*G226</f>
        <v>#REF!</v>
      </c>
      <c r="E226" s="83">
        <v>0.75</v>
      </c>
      <c r="F226" s="36">
        <v>0.25</v>
      </c>
      <c r="G226" s="36">
        <v>0.75</v>
      </c>
      <c r="H226" s="37" t="e">
        <f t="shared" si="86"/>
        <v>#REF!</v>
      </c>
      <c r="I226" s="69"/>
    </row>
    <row r="227" spans="1:10" ht="13.5" thickBot="1" x14ac:dyDescent="0.25">
      <c r="A227" s="9" t="s">
        <v>119</v>
      </c>
      <c r="B227" s="43" t="e">
        <f>#REF!*E227</f>
        <v>#REF!</v>
      </c>
      <c r="C227" s="43" t="e">
        <f>#REF!*F227</f>
        <v>#REF!</v>
      </c>
      <c r="D227" s="43" t="e">
        <f>#REF!*G227</f>
        <v>#REF!</v>
      </c>
      <c r="E227" s="84">
        <v>1</v>
      </c>
      <c r="F227" s="3">
        <v>0</v>
      </c>
      <c r="G227" s="3">
        <v>1</v>
      </c>
      <c r="H227" s="41" t="e">
        <f t="shared" si="86"/>
        <v>#REF!</v>
      </c>
      <c r="I227" s="69"/>
    </row>
    <row r="228" spans="1:10" x14ac:dyDescent="0.2">
      <c r="A228" s="7" t="s">
        <v>120</v>
      </c>
      <c r="B228" s="19" t="e">
        <f>#REF!*E228</f>
        <v>#REF!</v>
      </c>
      <c r="C228" s="19" t="e">
        <f>#REF!*F228</f>
        <v>#REF!</v>
      </c>
      <c r="D228" s="19" t="e">
        <f>#REF!*G228</f>
        <v>#REF!</v>
      </c>
      <c r="E228" s="83">
        <v>0</v>
      </c>
      <c r="F228" s="36">
        <v>1</v>
      </c>
      <c r="G228" s="36">
        <v>0</v>
      </c>
      <c r="H228" s="37" t="e">
        <f>B228*3.65</f>
        <v>#REF!</v>
      </c>
      <c r="I228" s="69"/>
    </row>
    <row r="229" spans="1:10" x14ac:dyDescent="0.2">
      <c r="A229" s="7" t="s">
        <v>121</v>
      </c>
      <c r="B229" s="19" t="e">
        <f>#REF!*E229</f>
        <v>#REF!</v>
      </c>
      <c r="C229" s="19" t="e">
        <f>#REF!*F229</f>
        <v>#REF!</v>
      </c>
      <c r="D229" s="19" t="e">
        <f>#REF!*G229</f>
        <v>#REF!</v>
      </c>
      <c r="E229" s="83">
        <v>0.25</v>
      </c>
      <c r="F229" s="36">
        <v>0.75</v>
      </c>
      <c r="G229" s="36">
        <v>0.25</v>
      </c>
      <c r="H229" s="37" t="e">
        <f t="shared" si="86"/>
        <v>#REF!</v>
      </c>
      <c r="I229" s="69"/>
    </row>
    <row r="230" spans="1:10" x14ac:dyDescent="0.2">
      <c r="A230" s="7" t="s">
        <v>122</v>
      </c>
      <c r="B230" s="19" t="e">
        <f>#REF!*E230</f>
        <v>#REF!</v>
      </c>
      <c r="C230" s="19" t="e">
        <f>#REF!*F230</f>
        <v>#REF!</v>
      </c>
      <c r="D230" s="19" t="e">
        <f>#REF!*G230</f>
        <v>#REF!</v>
      </c>
      <c r="E230" s="83">
        <v>0.5</v>
      </c>
      <c r="F230" s="36">
        <v>0.5</v>
      </c>
      <c r="G230" s="36">
        <v>0.5</v>
      </c>
      <c r="H230" s="37" t="e">
        <f t="shared" si="86"/>
        <v>#REF!</v>
      </c>
      <c r="I230" s="69"/>
    </row>
    <row r="231" spans="1:10" x14ac:dyDescent="0.2">
      <c r="A231" s="7" t="s">
        <v>123</v>
      </c>
      <c r="B231" s="19" t="e">
        <f>#REF!*E231</f>
        <v>#REF!</v>
      </c>
      <c r="C231" s="19" t="e">
        <f>#REF!*F231</f>
        <v>#REF!</v>
      </c>
      <c r="D231" s="19" t="e">
        <f>#REF!*G231</f>
        <v>#REF!</v>
      </c>
      <c r="E231" s="83">
        <v>0.75</v>
      </c>
      <c r="F231" s="36">
        <v>0.25</v>
      </c>
      <c r="G231" s="36">
        <v>0.75</v>
      </c>
      <c r="H231" s="37" t="e">
        <f t="shared" si="86"/>
        <v>#REF!</v>
      </c>
      <c r="I231" s="69"/>
    </row>
    <row r="232" spans="1:10" ht="13.5" thickBot="1" x14ac:dyDescent="0.25">
      <c r="A232" s="9" t="s">
        <v>124</v>
      </c>
      <c r="B232" s="43" t="e">
        <f>#REF!*E232</f>
        <v>#REF!</v>
      </c>
      <c r="C232" s="43" t="e">
        <f>#REF!*F232</f>
        <v>#REF!</v>
      </c>
      <c r="D232" s="43" t="e">
        <f>#REF!*G232</f>
        <v>#REF!</v>
      </c>
      <c r="E232" s="84">
        <v>1</v>
      </c>
      <c r="F232" s="3">
        <v>0</v>
      </c>
      <c r="G232" s="3">
        <v>1</v>
      </c>
      <c r="H232" s="41" t="e">
        <f t="shared" si="86"/>
        <v>#REF!</v>
      </c>
      <c r="I232" s="69"/>
    </row>
    <row r="233" spans="1:10" x14ac:dyDescent="0.2">
      <c r="A233" s="4" t="s">
        <v>80</v>
      </c>
      <c r="B233" s="24">
        <f t="shared" ref="B233:B246" si="87">G35*E233</f>
        <v>4</v>
      </c>
      <c r="C233" s="24">
        <f t="shared" ref="C233:C245" si="88">H35</f>
        <v>0</v>
      </c>
      <c r="D233" s="24">
        <f t="shared" ref="D233:D245" si="89">I35</f>
        <v>5.6</v>
      </c>
      <c r="E233" s="82">
        <v>1</v>
      </c>
      <c r="F233" s="38">
        <v>0</v>
      </c>
      <c r="G233" s="38">
        <v>1</v>
      </c>
      <c r="H233" s="39">
        <f t="shared" si="86"/>
        <v>14.6</v>
      </c>
      <c r="I233" s="69"/>
    </row>
    <row r="234" spans="1:10" x14ac:dyDescent="0.2">
      <c r="A234" s="7" t="s">
        <v>149</v>
      </c>
      <c r="B234" s="19">
        <f t="shared" si="87"/>
        <v>4</v>
      </c>
      <c r="C234" s="19">
        <f t="shared" si="88"/>
        <v>0</v>
      </c>
      <c r="D234" s="19">
        <f t="shared" si="89"/>
        <v>3.5</v>
      </c>
      <c r="E234" s="83">
        <v>1</v>
      </c>
      <c r="F234" s="36">
        <v>0</v>
      </c>
      <c r="G234" s="36">
        <v>1</v>
      </c>
      <c r="H234" s="37">
        <f t="shared" si="86"/>
        <v>14.6</v>
      </c>
      <c r="I234" s="69"/>
    </row>
    <row r="235" spans="1:10" x14ac:dyDescent="0.2">
      <c r="A235" s="7" t="s">
        <v>81</v>
      </c>
      <c r="B235" s="19">
        <f t="shared" si="87"/>
        <v>7.9452054794520546</v>
      </c>
      <c r="C235" s="19">
        <f t="shared" si="88"/>
        <v>0</v>
      </c>
      <c r="D235" s="19">
        <f t="shared" si="89"/>
        <v>12</v>
      </c>
      <c r="E235" s="83">
        <v>1</v>
      </c>
      <c r="F235" s="36">
        <v>0</v>
      </c>
      <c r="G235" s="36">
        <v>1</v>
      </c>
      <c r="H235" s="37">
        <f t="shared" si="86"/>
        <v>29</v>
      </c>
      <c r="I235" s="69"/>
    </row>
    <row r="236" spans="1:10" x14ac:dyDescent="0.2">
      <c r="A236" s="7" t="s">
        <v>82</v>
      </c>
      <c r="B236" s="19">
        <f t="shared" si="87"/>
        <v>9.8630136986301373</v>
      </c>
      <c r="C236" s="19">
        <f t="shared" si="88"/>
        <v>0</v>
      </c>
      <c r="D236" s="19">
        <f t="shared" si="89"/>
        <v>14</v>
      </c>
      <c r="E236" s="83">
        <v>1</v>
      </c>
      <c r="F236" s="36">
        <v>0</v>
      </c>
      <c r="G236" s="36">
        <v>1</v>
      </c>
      <c r="H236" s="37">
        <f t="shared" si="86"/>
        <v>36</v>
      </c>
      <c r="I236" s="69"/>
      <c r="J236" t="s">
        <v>330</v>
      </c>
    </row>
    <row r="237" spans="1:10" x14ac:dyDescent="0.2">
      <c r="A237" s="7" t="s">
        <v>83</v>
      </c>
      <c r="B237" s="19">
        <f t="shared" si="87"/>
        <v>4.1095890410958908</v>
      </c>
      <c r="C237" s="19">
        <f t="shared" si="88"/>
        <v>0</v>
      </c>
      <c r="D237" s="19">
        <f t="shared" si="89"/>
        <v>10</v>
      </c>
      <c r="E237" s="83">
        <v>1</v>
      </c>
      <c r="F237" s="36">
        <v>0</v>
      </c>
      <c r="G237" s="36">
        <v>1</v>
      </c>
      <c r="H237" s="37">
        <f t="shared" si="86"/>
        <v>15.000000000000002</v>
      </c>
      <c r="I237" s="69"/>
    </row>
    <row r="238" spans="1:10" x14ac:dyDescent="0.2">
      <c r="A238" s="7" t="s">
        <v>86</v>
      </c>
      <c r="B238" s="19">
        <f t="shared" si="87"/>
        <v>0.60821917808219184</v>
      </c>
      <c r="C238" s="19">
        <f t="shared" si="88"/>
        <v>0</v>
      </c>
      <c r="D238" s="19">
        <f t="shared" si="89"/>
        <v>2</v>
      </c>
      <c r="E238" s="83">
        <v>0.6</v>
      </c>
      <c r="F238" s="36">
        <v>0</v>
      </c>
      <c r="G238" s="36">
        <v>1</v>
      </c>
      <c r="H238" s="37">
        <f>B238*3.65</f>
        <v>2.2200000000000002</v>
      </c>
      <c r="I238" s="70">
        <f>B238/C40</f>
        <v>3.0410958904109591</v>
      </c>
    </row>
    <row r="239" spans="1:10" x14ac:dyDescent="0.2">
      <c r="A239" s="7" t="s">
        <v>57</v>
      </c>
      <c r="B239" s="19">
        <f t="shared" si="87"/>
        <v>0.50684931506849318</v>
      </c>
      <c r="C239" s="19">
        <f t="shared" si="88"/>
        <v>0</v>
      </c>
      <c r="D239" s="19">
        <f t="shared" si="89"/>
        <v>1.7</v>
      </c>
      <c r="E239" s="83">
        <v>0.5</v>
      </c>
      <c r="F239" s="36">
        <v>0</v>
      </c>
      <c r="G239" s="36">
        <v>1</v>
      </c>
      <c r="H239" s="37">
        <f t="shared" si="86"/>
        <v>1.85</v>
      </c>
      <c r="I239" s="70">
        <f>B239/C41</f>
        <v>2.9814665592264302</v>
      </c>
    </row>
    <row r="240" spans="1:10" x14ac:dyDescent="0.2">
      <c r="A240" s="7" t="s">
        <v>84</v>
      </c>
      <c r="B240" s="19">
        <f t="shared" si="87"/>
        <v>0.70958904109589038</v>
      </c>
      <c r="C240" s="19">
        <f t="shared" si="88"/>
        <v>0</v>
      </c>
      <c r="D240" s="19">
        <f t="shared" si="89"/>
        <v>2.2999999999999998</v>
      </c>
      <c r="E240" s="83">
        <v>0.7</v>
      </c>
      <c r="F240" s="36">
        <v>0</v>
      </c>
      <c r="G240" s="36">
        <v>1</v>
      </c>
      <c r="H240" s="37">
        <f t="shared" si="86"/>
        <v>2.59</v>
      </c>
      <c r="I240" s="70">
        <f>B240/C42</f>
        <v>2.8383561643835615</v>
      </c>
    </row>
    <row r="241" spans="1:9" x14ac:dyDescent="0.2">
      <c r="A241" s="7" t="s">
        <v>85</v>
      </c>
      <c r="B241" s="19">
        <f t="shared" si="87"/>
        <v>0.50684931506849318</v>
      </c>
      <c r="C241" s="19">
        <f t="shared" si="88"/>
        <v>0</v>
      </c>
      <c r="D241" s="19">
        <f t="shared" si="89"/>
        <v>1.7</v>
      </c>
      <c r="E241" s="83">
        <v>0.5</v>
      </c>
      <c r="F241" s="36">
        <v>0</v>
      </c>
      <c r="G241" s="36">
        <v>1</v>
      </c>
      <c r="H241" s="37">
        <f>B241*3.65</f>
        <v>1.85</v>
      </c>
      <c r="I241" s="70">
        <f>B241/C43</f>
        <v>2.9814665592264302</v>
      </c>
    </row>
    <row r="242" spans="1:9" x14ac:dyDescent="0.2">
      <c r="A242" s="7" t="s">
        <v>492</v>
      </c>
      <c r="B242" s="19">
        <f t="shared" si="87"/>
        <v>0</v>
      </c>
      <c r="C242" s="19">
        <f t="shared" si="88"/>
        <v>0</v>
      </c>
      <c r="D242" s="19">
        <f t="shared" si="89"/>
        <v>0</v>
      </c>
      <c r="E242" s="83">
        <v>0.5</v>
      </c>
      <c r="F242" s="36">
        <v>0</v>
      </c>
      <c r="G242" s="36">
        <v>1</v>
      </c>
      <c r="H242" s="37">
        <f t="shared" ref="H242:H245" si="90">B242*3.65</f>
        <v>0</v>
      </c>
      <c r="I242" s="70"/>
    </row>
    <row r="243" spans="1:9" x14ac:dyDescent="0.2">
      <c r="A243" s="7" t="s">
        <v>493</v>
      </c>
      <c r="B243" s="19">
        <f t="shared" si="87"/>
        <v>0</v>
      </c>
      <c r="C243" s="19">
        <f t="shared" si="88"/>
        <v>0</v>
      </c>
      <c r="D243" s="19">
        <f t="shared" si="89"/>
        <v>0</v>
      </c>
      <c r="E243" s="83">
        <v>0.5</v>
      </c>
      <c r="F243" s="36">
        <v>0</v>
      </c>
      <c r="G243" s="36">
        <v>1</v>
      </c>
      <c r="H243" s="37">
        <f t="shared" si="90"/>
        <v>0</v>
      </c>
      <c r="I243" s="70"/>
    </row>
    <row r="244" spans="1:9" x14ac:dyDescent="0.2">
      <c r="A244" s="7" t="s">
        <v>494</v>
      </c>
      <c r="B244" s="19">
        <f t="shared" si="87"/>
        <v>0</v>
      </c>
      <c r="C244" s="19">
        <f t="shared" si="88"/>
        <v>0</v>
      </c>
      <c r="D244" s="19">
        <f t="shared" si="89"/>
        <v>0</v>
      </c>
      <c r="E244" s="83">
        <v>0.5</v>
      </c>
      <c r="F244" s="36">
        <v>0</v>
      </c>
      <c r="G244" s="36">
        <v>1</v>
      </c>
      <c r="H244" s="37">
        <f t="shared" si="90"/>
        <v>0</v>
      </c>
      <c r="I244" s="70"/>
    </row>
    <row r="245" spans="1:9" x14ac:dyDescent="0.2">
      <c r="A245" s="7" t="s">
        <v>495</v>
      </c>
      <c r="B245" s="19">
        <f t="shared" si="87"/>
        <v>0</v>
      </c>
      <c r="C245" s="19">
        <f t="shared" si="88"/>
        <v>0</v>
      </c>
      <c r="D245" s="19">
        <f t="shared" si="89"/>
        <v>0</v>
      </c>
      <c r="E245" s="83">
        <v>0.5</v>
      </c>
      <c r="F245" s="36">
        <v>0</v>
      </c>
      <c r="G245" s="36">
        <v>1</v>
      </c>
      <c r="H245" s="37">
        <f t="shared" si="90"/>
        <v>0</v>
      </c>
      <c r="I245" s="70"/>
    </row>
    <row r="246" spans="1:9" x14ac:dyDescent="0.2">
      <c r="A246" s="7" t="s">
        <v>87</v>
      </c>
      <c r="B246" s="19">
        <f t="shared" si="87"/>
        <v>4.4000000000000004</v>
      </c>
      <c r="C246" s="19">
        <f t="shared" ref="C246:D253" si="91">H48</f>
        <v>0</v>
      </c>
      <c r="D246" s="19">
        <f>I48</f>
        <v>9.6</v>
      </c>
      <c r="E246" s="83">
        <v>1</v>
      </c>
      <c r="F246" s="36">
        <v>0</v>
      </c>
      <c r="G246" s="36">
        <v>1</v>
      </c>
      <c r="H246" s="37">
        <f>B246*3.65</f>
        <v>16.060000000000002</v>
      </c>
      <c r="I246" s="69"/>
    </row>
    <row r="247" spans="1:9" x14ac:dyDescent="0.2">
      <c r="A247" s="7" t="s">
        <v>88</v>
      </c>
      <c r="B247" s="19">
        <f t="shared" ref="B247:B253" si="92">G49*E247</f>
        <v>3.3</v>
      </c>
      <c r="C247" s="19">
        <f t="shared" si="91"/>
        <v>0</v>
      </c>
      <c r="D247" s="19">
        <f t="shared" si="91"/>
        <v>4.4000000000000004</v>
      </c>
      <c r="E247" s="83">
        <v>1</v>
      </c>
      <c r="F247" s="36">
        <v>0</v>
      </c>
      <c r="G247" s="36">
        <v>1</v>
      </c>
      <c r="H247" s="37">
        <f t="shared" si="86"/>
        <v>12.045</v>
      </c>
      <c r="I247" s="69"/>
    </row>
    <row r="248" spans="1:9" x14ac:dyDescent="0.2">
      <c r="A248" s="7" t="s">
        <v>89</v>
      </c>
      <c r="B248" s="19">
        <f t="shared" si="92"/>
        <v>1.2</v>
      </c>
      <c r="C248" s="19">
        <f t="shared" si="91"/>
        <v>0</v>
      </c>
      <c r="D248" s="19">
        <f t="shared" si="91"/>
        <v>1.6</v>
      </c>
      <c r="E248" s="83">
        <v>1</v>
      </c>
      <c r="F248" s="36">
        <v>0</v>
      </c>
      <c r="G248" s="36">
        <v>1</v>
      </c>
      <c r="H248" s="37">
        <f t="shared" si="86"/>
        <v>4.38</v>
      </c>
      <c r="I248" s="69"/>
    </row>
    <row r="249" spans="1:9" x14ac:dyDescent="0.2">
      <c r="A249" s="7" t="s">
        <v>90</v>
      </c>
      <c r="B249" s="19">
        <f t="shared" si="92"/>
        <v>1.2</v>
      </c>
      <c r="C249" s="19">
        <f t="shared" si="91"/>
        <v>0</v>
      </c>
      <c r="D249" s="19">
        <f t="shared" si="91"/>
        <v>1.6</v>
      </c>
      <c r="E249" s="83">
        <v>1</v>
      </c>
      <c r="F249" s="36">
        <v>0</v>
      </c>
      <c r="G249" s="36">
        <v>1</v>
      </c>
      <c r="H249" s="37">
        <f t="shared" si="86"/>
        <v>4.38</v>
      </c>
      <c r="I249" s="69"/>
    </row>
    <row r="250" spans="1:9" x14ac:dyDescent="0.2">
      <c r="A250" s="7" t="s">
        <v>91</v>
      </c>
      <c r="B250" s="19">
        <f t="shared" si="92"/>
        <v>1.2</v>
      </c>
      <c r="C250" s="19">
        <f t="shared" si="91"/>
        <v>0</v>
      </c>
      <c r="D250" s="19">
        <f t="shared" si="91"/>
        <v>1.6</v>
      </c>
      <c r="E250" s="83">
        <v>1</v>
      </c>
      <c r="F250" s="36">
        <v>0</v>
      </c>
      <c r="G250" s="36">
        <v>1</v>
      </c>
      <c r="H250" s="37">
        <f t="shared" si="86"/>
        <v>4.38</v>
      </c>
      <c r="I250" s="69"/>
    </row>
    <row r="251" spans="1:9" x14ac:dyDescent="0.2">
      <c r="A251" s="7" t="s">
        <v>92</v>
      </c>
      <c r="B251" s="19">
        <f t="shared" si="92"/>
        <v>1.2</v>
      </c>
      <c r="C251" s="19">
        <f t="shared" si="91"/>
        <v>0</v>
      </c>
      <c r="D251" s="19">
        <f t="shared" si="91"/>
        <v>1.6</v>
      </c>
      <c r="E251" s="83">
        <v>1</v>
      </c>
      <c r="F251" s="36">
        <v>0</v>
      </c>
      <c r="G251" s="36">
        <v>1</v>
      </c>
      <c r="H251" s="37">
        <f t="shared" si="86"/>
        <v>4.38</v>
      </c>
      <c r="I251" s="69"/>
    </row>
    <row r="252" spans="1:9" x14ac:dyDescent="0.2">
      <c r="A252" s="7" t="s">
        <v>93</v>
      </c>
      <c r="B252" s="19">
        <f t="shared" si="92"/>
        <v>1.2</v>
      </c>
      <c r="C252" s="19">
        <f t="shared" si="91"/>
        <v>0</v>
      </c>
      <c r="D252" s="19">
        <f t="shared" si="91"/>
        <v>1.6</v>
      </c>
      <c r="E252" s="83">
        <v>1</v>
      </c>
      <c r="F252" s="36">
        <v>0</v>
      </c>
      <c r="G252" s="36">
        <v>1</v>
      </c>
      <c r="H252" s="37">
        <f t="shared" si="86"/>
        <v>4.38</v>
      </c>
      <c r="I252" s="69"/>
    </row>
    <row r="253" spans="1:9" x14ac:dyDescent="0.2">
      <c r="A253" s="7" t="s">
        <v>94</v>
      </c>
      <c r="B253" s="19">
        <f t="shared" si="92"/>
        <v>1</v>
      </c>
      <c r="C253" s="19">
        <f t="shared" si="91"/>
        <v>0</v>
      </c>
      <c r="D253" s="19">
        <f t="shared" si="91"/>
        <v>1.6</v>
      </c>
      <c r="E253" s="83">
        <v>1</v>
      </c>
      <c r="F253" s="36">
        <v>0</v>
      </c>
      <c r="G253" s="36">
        <v>1</v>
      </c>
      <c r="H253" s="37">
        <f t="shared" si="86"/>
        <v>3.65</v>
      </c>
      <c r="I253" s="69"/>
    </row>
    <row r="254" spans="1:9" ht="13.5" thickBot="1" x14ac:dyDescent="0.25">
      <c r="A254" s="9">
        <v>0</v>
      </c>
      <c r="B254" s="2">
        <v>0</v>
      </c>
      <c r="C254" s="2">
        <v>0</v>
      </c>
      <c r="D254" s="2">
        <v>0</v>
      </c>
      <c r="E254" s="84">
        <v>1</v>
      </c>
      <c r="F254" s="3">
        <v>0</v>
      </c>
      <c r="G254" s="3">
        <v>1</v>
      </c>
      <c r="H254" s="41">
        <f t="shared" si="86"/>
        <v>0</v>
      </c>
      <c r="I254" s="69"/>
    </row>
  </sheetData>
  <customSheetViews>
    <customSheetView guid="{DE545A82-34CB-4C58-841D-D0AF30A53BE0}" topLeftCell="A117">
      <selection activeCell="G30" sqref="G30"/>
      <pageMargins left="0.7" right="0.7" top="0.78740157499999996" bottom="0.78740157499999996" header="0.3" footer="0.3"/>
      <pageSetup paperSize="9" orientation="portrait" r:id="rId1"/>
    </customSheetView>
  </customSheetViews>
  <pageMargins left="0.7" right="0.7" top="0.78740157499999996" bottom="0.78740157499999996" header="0.3" footer="0.3"/>
  <pageSetup paperSize="9" orientation="portrait" r:id="rId2"/>
  <ignoredErrors>
    <ignoredError sqref="G32 G29" formula="1"/>
  </ignoredErrors>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611"/>
  <dimension ref="A1:W141"/>
  <sheetViews>
    <sheetView topLeftCell="A132" zoomScale="130" zoomScaleNormal="130" workbookViewId="0">
      <selection activeCell="A138" sqref="A138"/>
    </sheetView>
  </sheetViews>
  <sheetFormatPr baseColWidth="10" defaultRowHeight="12.75" x14ac:dyDescent="0.2"/>
  <cols>
    <col min="1" max="1" width="38.5703125" customWidth="1"/>
    <col min="2" max="2" width="13.140625" customWidth="1"/>
    <col min="3" max="3" width="30.42578125" customWidth="1"/>
    <col min="4" max="4" width="12" customWidth="1"/>
    <col min="5" max="5" width="19.5703125" customWidth="1"/>
    <col min="6" max="6" width="12.85546875" customWidth="1"/>
    <col min="7" max="7" width="13" customWidth="1"/>
    <col min="8" max="9" width="16.42578125" customWidth="1"/>
    <col min="11" max="11" width="14.5703125" customWidth="1"/>
    <col min="12" max="12" width="13" customWidth="1"/>
    <col min="13" max="13" width="12.85546875" customWidth="1"/>
    <col min="14" max="14" width="12.42578125" customWidth="1"/>
    <col min="15" max="15" width="17" customWidth="1"/>
    <col min="17" max="17" width="12" customWidth="1"/>
  </cols>
  <sheetData>
    <row r="1" spans="1:5" x14ac:dyDescent="0.2">
      <c r="A1" s="26" t="s">
        <v>9</v>
      </c>
    </row>
    <row r="3" spans="1:5" x14ac:dyDescent="0.2">
      <c r="A3" s="35" t="s">
        <v>10</v>
      </c>
      <c r="E3" s="67" t="s">
        <v>459</v>
      </c>
    </row>
    <row r="4" spans="1:5" ht="13.5" thickBot="1" x14ac:dyDescent="0.25"/>
    <row r="5" spans="1:5" x14ac:dyDescent="0.2">
      <c r="A5" s="57">
        <v>0</v>
      </c>
      <c r="B5" s="58">
        <v>0</v>
      </c>
      <c r="E5" s="11">
        <v>0</v>
      </c>
    </row>
    <row r="6" spans="1:5" ht="44.25" customHeight="1" x14ac:dyDescent="0.2">
      <c r="A6" s="55" t="s">
        <v>292</v>
      </c>
      <c r="B6" s="56">
        <v>1</v>
      </c>
      <c r="C6" s="54" t="s">
        <v>356</v>
      </c>
      <c r="E6" s="51" t="s">
        <v>460</v>
      </c>
    </row>
    <row r="7" spans="1:5" ht="38.25" x14ac:dyDescent="0.2">
      <c r="A7" s="55" t="s">
        <v>361</v>
      </c>
      <c r="B7" s="56">
        <v>2</v>
      </c>
      <c r="C7" s="52" t="s">
        <v>357</v>
      </c>
      <c r="E7" s="51" t="s">
        <v>461</v>
      </c>
    </row>
    <row r="8" spans="1:5" ht="38.25" x14ac:dyDescent="0.2">
      <c r="A8" s="55" t="s">
        <v>360</v>
      </c>
      <c r="B8" s="56">
        <v>3</v>
      </c>
      <c r="C8" s="52" t="s">
        <v>358</v>
      </c>
      <c r="E8" s="51" t="s">
        <v>461</v>
      </c>
    </row>
    <row r="9" spans="1:5" ht="38.25" x14ac:dyDescent="0.2">
      <c r="A9" s="55" t="s">
        <v>362</v>
      </c>
      <c r="B9" s="56">
        <v>4</v>
      </c>
      <c r="C9" s="52" t="s">
        <v>359</v>
      </c>
      <c r="E9" s="51" t="s">
        <v>461</v>
      </c>
    </row>
    <row r="10" spans="1:5" ht="38.25" x14ac:dyDescent="0.2">
      <c r="A10" s="55" t="s">
        <v>363</v>
      </c>
      <c r="B10" s="56">
        <v>5</v>
      </c>
      <c r="C10" s="52" t="s">
        <v>365</v>
      </c>
      <c r="E10" s="51" t="s">
        <v>461</v>
      </c>
    </row>
    <row r="11" spans="1:5" ht="63.75" x14ac:dyDescent="0.2">
      <c r="A11" s="55" t="s">
        <v>366</v>
      </c>
      <c r="B11" s="56">
        <v>6</v>
      </c>
      <c r="C11" s="52" t="s">
        <v>364</v>
      </c>
      <c r="E11" s="51" t="s">
        <v>461</v>
      </c>
    </row>
    <row r="12" spans="1:5" ht="38.25" x14ac:dyDescent="0.2">
      <c r="A12" s="55" t="s">
        <v>456</v>
      </c>
      <c r="B12" s="56">
        <v>7</v>
      </c>
      <c r="C12" s="52" t="s">
        <v>367</v>
      </c>
      <c r="E12" s="51" t="s">
        <v>462</v>
      </c>
    </row>
    <row r="13" spans="1:5" ht="38.25" x14ac:dyDescent="0.2">
      <c r="A13" s="55" t="s">
        <v>369</v>
      </c>
      <c r="B13" s="56">
        <v>8</v>
      </c>
      <c r="C13" s="52" t="s">
        <v>368</v>
      </c>
      <c r="E13" s="51" t="s">
        <v>462</v>
      </c>
    </row>
    <row r="14" spans="1:5" ht="38.25" x14ac:dyDescent="0.2">
      <c r="A14" s="55" t="s">
        <v>371</v>
      </c>
      <c r="B14" s="56">
        <v>9</v>
      </c>
      <c r="C14" s="52" t="s">
        <v>370</v>
      </c>
      <c r="E14" s="11" t="s">
        <v>463</v>
      </c>
    </row>
    <row r="15" spans="1:5" ht="38.25" x14ac:dyDescent="0.2">
      <c r="A15" s="55" t="s">
        <v>373</v>
      </c>
      <c r="B15" s="56">
        <v>10</v>
      </c>
      <c r="C15" s="52" t="s">
        <v>372</v>
      </c>
      <c r="E15" s="11" t="s">
        <v>464</v>
      </c>
    </row>
    <row r="16" spans="1:5" ht="25.5" x14ac:dyDescent="0.2">
      <c r="A16" s="55" t="s">
        <v>377</v>
      </c>
      <c r="B16" s="56">
        <v>11</v>
      </c>
      <c r="C16" s="52" t="s">
        <v>374</v>
      </c>
      <c r="E16" s="51" t="s">
        <v>465</v>
      </c>
    </row>
    <row r="17" spans="1:5" ht="25.5" x14ac:dyDescent="0.2">
      <c r="A17" s="55" t="s">
        <v>376</v>
      </c>
      <c r="B17" s="56">
        <v>12</v>
      </c>
      <c r="C17" s="52" t="s">
        <v>375</v>
      </c>
      <c r="E17" s="51" t="s">
        <v>466</v>
      </c>
    </row>
    <row r="18" spans="1:5" ht="38.25" x14ac:dyDescent="0.2">
      <c r="A18" s="55" t="s">
        <v>379</v>
      </c>
      <c r="B18" s="56">
        <v>13</v>
      </c>
      <c r="C18" s="52" t="s">
        <v>378</v>
      </c>
      <c r="E18" s="51" t="s">
        <v>466</v>
      </c>
    </row>
    <row r="19" spans="1:5" x14ac:dyDescent="0.2">
      <c r="A19" s="55" t="s">
        <v>425</v>
      </c>
      <c r="B19" s="56">
        <v>14</v>
      </c>
      <c r="E19" s="11" t="s">
        <v>467</v>
      </c>
    </row>
    <row r="20" spans="1:5" x14ac:dyDescent="0.2">
      <c r="A20" s="55" t="s">
        <v>314</v>
      </c>
      <c r="B20" s="56">
        <v>15</v>
      </c>
      <c r="E20" s="11" t="s">
        <v>468</v>
      </c>
    </row>
    <row r="21" spans="1:5" x14ac:dyDescent="0.2">
      <c r="A21" s="55" t="s">
        <v>315</v>
      </c>
      <c r="B21" s="56">
        <v>16</v>
      </c>
      <c r="E21" s="11" t="s">
        <v>469</v>
      </c>
    </row>
    <row r="22" spans="1:5" x14ac:dyDescent="0.2">
      <c r="A22" s="55" t="s">
        <v>182</v>
      </c>
      <c r="B22" s="56">
        <v>17</v>
      </c>
      <c r="E22" s="11" t="s">
        <v>470</v>
      </c>
    </row>
    <row r="23" spans="1:5" x14ac:dyDescent="0.2">
      <c r="A23" s="55" t="s">
        <v>47</v>
      </c>
      <c r="B23" s="56">
        <v>18</v>
      </c>
      <c r="E23" s="11" t="s">
        <v>470</v>
      </c>
    </row>
    <row r="24" spans="1:5" x14ac:dyDescent="0.2">
      <c r="A24" s="55" t="s">
        <v>48</v>
      </c>
      <c r="B24" s="56">
        <v>19</v>
      </c>
      <c r="E24" s="11" t="s">
        <v>470</v>
      </c>
    </row>
    <row r="25" spans="1:5" x14ac:dyDescent="0.2">
      <c r="A25" s="55" t="s">
        <v>49</v>
      </c>
      <c r="B25" s="56">
        <v>20</v>
      </c>
      <c r="E25" s="11" t="s">
        <v>470</v>
      </c>
    </row>
    <row r="26" spans="1:5" x14ac:dyDescent="0.2">
      <c r="A26" s="55" t="s">
        <v>50</v>
      </c>
      <c r="B26" s="56">
        <v>21</v>
      </c>
      <c r="E26" s="11" t="s">
        <v>470</v>
      </c>
    </row>
    <row r="27" spans="1:5" ht="13.5" thickBot="1" x14ac:dyDescent="0.25">
      <c r="A27" s="59">
        <v>0</v>
      </c>
      <c r="B27" s="60">
        <v>0</v>
      </c>
      <c r="E27" s="11">
        <v>0</v>
      </c>
    </row>
    <row r="33" spans="1:23" x14ac:dyDescent="0.2">
      <c r="A33" s="26" t="s">
        <v>132</v>
      </c>
    </row>
    <row r="34" spans="1:23" ht="13.5" thickBot="1" x14ac:dyDescent="0.25">
      <c r="B34">
        <v>1</v>
      </c>
      <c r="C34">
        <v>2</v>
      </c>
      <c r="D34">
        <v>3</v>
      </c>
      <c r="E34">
        <v>4</v>
      </c>
      <c r="F34">
        <v>5</v>
      </c>
      <c r="G34">
        <v>6</v>
      </c>
      <c r="H34">
        <v>7</v>
      </c>
      <c r="I34">
        <v>8</v>
      </c>
      <c r="J34">
        <v>9</v>
      </c>
      <c r="K34">
        <v>10</v>
      </c>
      <c r="L34">
        <v>11</v>
      </c>
      <c r="M34">
        <v>12</v>
      </c>
      <c r="N34">
        <v>13</v>
      </c>
      <c r="O34">
        <v>14</v>
      </c>
      <c r="P34">
        <v>15</v>
      </c>
      <c r="Q34">
        <v>16</v>
      </c>
      <c r="R34">
        <v>17</v>
      </c>
      <c r="S34">
        <v>18</v>
      </c>
      <c r="T34">
        <v>19</v>
      </c>
      <c r="U34">
        <v>20</v>
      </c>
      <c r="V34">
        <v>21</v>
      </c>
    </row>
    <row r="35" spans="1:23" ht="51" x14ac:dyDescent="0.2">
      <c r="A35" s="63" t="s">
        <v>11</v>
      </c>
      <c r="B35" s="61" t="str">
        <f>A6</f>
        <v>Boxenlaufstall Vollgülle</v>
      </c>
      <c r="C35" s="61" t="str">
        <f>A7</f>
        <v>Boxen, gegenständig 19% Mist, 81% Gülle</v>
      </c>
      <c r="D35" s="61" t="str">
        <f>A8</f>
        <v>Boxen, wandständig, 38% Mist, 62% Gülle</v>
      </c>
      <c r="E35" s="61" t="str">
        <f>A9</f>
        <v>Boxen, gegenständig, 33% Mist, 67% Gülle</v>
      </c>
      <c r="F35" s="61" t="str">
        <f>A10</f>
        <v>Boxen, gegenständig, 52% Mist, 48% Gülle</v>
      </c>
      <c r="G35" s="61" t="str">
        <f>A11</f>
        <v>Boxenlaufstall, 70% Mist, 30% Gülle</v>
      </c>
      <c r="H35" s="61" t="str">
        <f>A12</f>
        <v>Zweiraumlaufstall, 50% Mist, 50% Gülle</v>
      </c>
      <c r="I35" s="61" t="str">
        <f>A13</f>
        <v>Zweiraumlaufstall, 70% Mist, 30% Gülle</v>
      </c>
      <c r="J35" s="61" t="str">
        <f>A14</f>
        <v>Tretmiststall, 75% Mist, 25% Gülle</v>
      </c>
      <c r="K35" s="61" t="str">
        <f>A15</f>
        <v>Einraumlaufstall, 100% Mist, 0% Gülle</v>
      </c>
      <c r="L35" s="61" t="str">
        <f>A16</f>
        <v>Anbindestall, 0% Mist, 100% Gülle</v>
      </c>
      <c r="M35" s="61" t="str">
        <f>A17</f>
        <v>Anbindestall, 52% Mist, 48% Gülle</v>
      </c>
      <c r="N35" s="61" t="str">
        <f>A18</f>
        <v>Anbindestall, 70% Mist, 30% Gülle</v>
      </c>
      <c r="O35" s="61" t="s">
        <v>425</v>
      </c>
      <c r="P35" s="61" t="s">
        <v>314</v>
      </c>
      <c r="Q35" s="61" t="s">
        <v>315</v>
      </c>
      <c r="R35" s="61" t="str">
        <f>A22</f>
        <v>Schweine Vollgülle</v>
      </c>
      <c r="S35" s="61" t="str">
        <f>A23</f>
        <v>Schweine 10-40% eingestreut</v>
      </c>
      <c r="T35" s="61" t="str">
        <f>A24</f>
        <v>Schweine 40-60% eingestreut</v>
      </c>
      <c r="U35" s="61" t="str">
        <f>A25</f>
        <v>Schweine 60-90% eingestreut</v>
      </c>
      <c r="V35" s="61" t="str">
        <f>A26</f>
        <v>Schweine nur Mist</v>
      </c>
      <c r="W35" s="62">
        <v>0</v>
      </c>
    </row>
    <row r="36" spans="1:23" x14ac:dyDescent="0.2">
      <c r="A36" s="7" t="s">
        <v>499</v>
      </c>
      <c r="B36" t="s">
        <v>155</v>
      </c>
      <c r="C36" t="s">
        <v>156</v>
      </c>
      <c r="D36" t="s">
        <v>157</v>
      </c>
      <c r="E36" t="s">
        <v>158</v>
      </c>
      <c r="F36" t="s">
        <v>159</v>
      </c>
      <c r="G36" t="s">
        <v>160</v>
      </c>
      <c r="H36" t="s">
        <v>161</v>
      </c>
      <c r="I36" t="s">
        <v>162</v>
      </c>
      <c r="J36" t="s">
        <v>163</v>
      </c>
      <c r="K36" t="s">
        <v>164</v>
      </c>
      <c r="L36" t="s">
        <v>165</v>
      </c>
      <c r="M36" t="s">
        <v>166</v>
      </c>
      <c r="N36" t="s">
        <v>179</v>
      </c>
      <c r="W36" s="8"/>
    </row>
    <row r="37" spans="1:23" x14ac:dyDescent="0.2">
      <c r="A37" s="7" t="s">
        <v>2</v>
      </c>
      <c r="B37" t="s">
        <v>167</v>
      </c>
      <c r="C37" t="s">
        <v>168</v>
      </c>
      <c r="D37" t="s">
        <v>169</v>
      </c>
      <c r="E37" t="s">
        <v>170</v>
      </c>
      <c r="F37" t="s">
        <v>171</v>
      </c>
      <c r="G37" t="s">
        <v>172</v>
      </c>
      <c r="H37" t="s">
        <v>173</v>
      </c>
      <c r="I37" t="s">
        <v>174</v>
      </c>
      <c r="J37" t="s">
        <v>175</v>
      </c>
      <c r="K37" t="s">
        <v>176</v>
      </c>
      <c r="L37" t="s">
        <v>177</v>
      </c>
      <c r="M37" t="s">
        <v>178</v>
      </c>
      <c r="N37" t="s">
        <v>180</v>
      </c>
      <c r="W37" s="8"/>
    </row>
    <row r="38" spans="1:23" x14ac:dyDescent="0.2">
      <c r="A38" s="7" t="s">
        <v>329</v>
      </c>
      <c r="B38" t="s">
        <v>185</v>
      </c>
      <c r="C38" t="s">
        <v>186</v>
      </c>
      <c r="D38" t="s">
        <v>187</v>
      </c>
      <c r="E38" t="s">
        <v>188</v>
      </c>
      <c r="F38" t="s">
        <v>189</v>
      </c>
      <c r="G38" t="s">
        <v>190</v>
      </c>
      <c r="H38" t="s">
        <v>191</v>
      </c>
      <c r="I38" t="s">
        <v>192</v>
      </c>
      <c r="J38" t="s">
        <v>193</v>
      </c>
      <c r="K38" t="s">
        <v>194</v>
      </c>
      <c r="W38" s="8"/>
    </row>
    <row r="39" spans="1:23" x14ac:dyDescent="0.2">
      <c r="A39" t="s">
        <v>332</v>
      </c>
      <c r="B39" t="s">
        <v>334</v>
      </c>
      <c r="C39" t="s">
        <v>335</v>
      </c>
      <c r="D39" t="s">
        <v>336</v>
      </c>
      <c r="E39" t="s">
        <v>337</v>
      </c>
      <c r="F39" t="s">
        <v>338</v>
      </c>
      <c r="G39" t="s">
        <v>339</v>
      </c>
      <c r="H39" t="s">
        <v>340</v>
      </c>
      <c r="I39" t="s">
        <v>341</v>
      </c>
      <c r="J39" t="s">
        <v>342</v>
      </c>
      <c r="K39" t="s">
        <v>343</v>
      </c>
      <c r="L39" t="s">
        <v>485</v>
      </c>
      <c r="M39" t="s">
        <v>486</v>
      </c>
      <c r="N39" t="s">
        <v>487</v>
      </c>
      <c r="W39" s="8"/>
    </row>
    <row r="40" spans="1:23" x14ac:dyDescent="0.2">
      <c r="A40" s="7" t="s">
        <v>3</v>
      </c>
      <c r="B40" t="s">
        <v>195</v>
      </c>
      <c r="C40" t="s">
        <v>196</v>
      </c>
      <c r="D40" t="s">
        <v>197</v>
      </c>
      <c r="E40" t="s">
        <v>198</v>
      </c>
      <c r="F40" t="s">
        <v>199</v>
      </c>
      <c r="G40" t="s">
        <v>200</v>
      </c>
      <c r="H40" t="s">
        <v>201</v>
      </c>
      <c r="I40" t="s">
        <v>202</v>
      </c>
      <c r="J40" t="s">
        <v>203</v>
      </c>
      <c r="K40" t="s">
        <v>204</v>
      </c>
      <c r="L40" t="s">
        <v>205</v>
      </c>
      <c r="M40" t="s">
        <v>206</v>
      </c>
      <c r="N40" t="s">
        <v>207</v>
      </c>
      <c r="W40" s="8"/>
    </row>
    <row r="41" spans="1:23" x14ac:dyDescent="0.2">
      <c r="A41" s="7" t="s">
        <v>4</v>
      </c>
      <c r="B41" t="s">
        <v>208</v>
      </c>
      <c r="C41" t="s">
        <v>209</v>
      </c>
      <c r="D41" t="s">
        <v>210</v>
      </c>
      <c r="E41" t="s">
        <v>211</v>
      </c>
      <c r="F41" t="s">
        <v>212</v>
      </c>
      <c r="G41" t="s">
        <v>213</v>
      </c>
      <c r="H41" t="s">
        <v>214</v>
      </c>
      <c r="I41" t="s">
        <v>215</v>
      </c>
      <c r="J41" t="s">
        <v>216</v>
      </c>
      <c r="K41" t="s">
        <v>217</v>
      </c>
      <c r="L41" t="s">
        <v>218</v>
      </c>
      <c r="M41" t="s">
        <v>219</v>
      </c>
      <c r="N41" t="s">
        <v>220</v>
      </c>
      <c r="W41" s="8"/>
    </row>
    <row r="42" spans="1:23" x14ac:dyDescent="0.2">
      <c r="A42" s="7" t="s">
        <v>184</v>
      </c>
      <c r="H42" t="s">
        <v>303</v>
      </c>
      <c r="I42" t="s">
        <v>304</v>
      </c>
      <c r="K42" t="s">
        <v>305</v>
      </c>
      <c r="W42" s="8"/>
    </row>
    <row r="43" spans="1:23" x14ac:dyDescent="0.2">
      <c r="A43" s="49" t="s">
        <v>435</v>
      </c>
      <c r="B43" t="s">
        <v>221</v>
      </c>
      <c r="C43" t="s">
        <v>222</v>
      </c>
      <c r="D43" t="s">
        <v>223</v>
      </c>
      <c r="E43" t="s">
        <v>224</v>
      </c>
      <c r="F43" t="s">
        <v>225</v>
      </c>
      <c r="G43" t="s">
        <v>226</v>
      </c>
      <c r="H43" t="s">
        <v>227</v>
      </c>
      <c r="I43" t="s">
        <v>228</v>
      </c>
      <c r="J43" t="s">
        <v>229</v>
      </c>
      <c r="K43" t="s">
        <v>230</v>
      </c>
      <c r="W43" s="8"/>
    </row>
    <row r="44" spans="1:23" x14ac:dyDescent="0.2">
      <c r="A44" s="49" t="s">
        <v>434</v>
      </c>
      <c r="B44" t="s">
        <v>231</v>
      </c>
      <c r="C44" t="s">
        <v>232</v>
      </c>
      <c r="D44" t="s">
        <v>233</v>
      </c>
      <c r="E44" t="s">
        <v>234</v>
      </c>
      <c r="F44" t="s">
        <v>235</v>
      </c>
      <c r="G44" t="s">
        <v>236</v>
      </c>
      <c r="H44" t="s">
        <v>237</v>
      </c>
      <c r="I44" t="s">
        <v>238</v>
      </c>
      <c r="J44" t="s">
        <v>239</v>
      </c>
      <c r="K44" t="s">
        <v>240</v>
      </c>
      <c r="W44" s="8"/>
    </row>
    <row r="45" spans="1:23" x14ac:dyDescent="0.2">
      <c r="A45" s="7" t="s">
        <v>51</v>
      </c>
      <c r="B45" t="s">
        <v>241</v>
      </c>
      <c r="C45" t="s">
        <v>242</v>
      </c>
      <c r="D45" t="s">
        <v>243</v>
      </c>
      <c r="E45" t="s">
        <v>244</v>
      </c>
      <c r="F45" t="s">
        <v>245</v>
      </c>
      <c r="G45" t="s">
        <v>246</v>
      </c>
      <c r="H45" t="s">
        <v>247</v>
      </c>
      <c r="I45" t="s">
        <v>248</v>
      </c>
      <c r="J45" t="s">
        <v>249</v>
      </c>
      <c r="K45" t="s">
        <v>250</v>
      </c>
      <c r="L45" t="s">
        <v>251</v>
      </c>
      <c r="M45" t="s">
        <v>252</v>
      </c>
      <c r="N45" t="s">
        <v>253</v>
      </c>
      <c r="W45" s="8"/>
    </row>
    <row r="46" spans="1:23" x14ac:dyDescent="0.2">
      <c r="A46" s="64" t="s">
        <v>452</v>
      </c>
      <c r="B46" t="s">
        <v>255</v>
      </c>
      <c r="C46" t="s">
        <v>256</v>
      </c>
      <c r="D46" t="s">
        <v>257</v>
      </c>
      <c r="E46" t="s">
        <v>258</v>
      </c>
      <c r="F46" t="s">
        <v>259</v>
      </c>
      <c r="G46" t="s">
        <v>260</v>
      </c>
      <c r="H46" t="s">
        <v>261</v>
      </c>
      <c r="I46" t="s">
        <v>262</v>
      </c>
      <c r="J46" t="s">
        <v>263</v>
      </c>
      <c r="K46" t="s">
        <v>264</v>
      </c>
      <c r="W46" s="8"/>
    </row>
    <row r="47" spans="1:23" x14ac:dyDescent="0.2">
      <c r="A47" s="64" t="s">
        <v>380</v>
      </c>
      <c r="B47" t="s">
        <v>265</v>
      </c>
      <c r="C47" t="s">
        <v>266</v>
      </c>
      <c r="D47" t="s">
        <v>267</v>
      </c>
      <c r="E47" t="s">
        <v>268</v>
      </c>
      <c r="F47" t="s">
        <v>269</v>
      </c>
      <c r="G47" t="s">
        <v>270</v>
      </c>
      <c r="H47" t="s">
        <v>271</v>
      </c>
      <c r="I47" t="s">
        <v>272</v>
      </c>
      <c r="J47" t="s">
        <v>273</v>
      </c>
      <c r="K47" t="s">
        <v>274</v>
      </c>
      <c r="W47" s="8"/>
    </row>
    <row r="48" spans="1:23" x14ac:dyDescent="0.2">
      <c r="A48" s="64" t="s">
        <v>453</v>
      </c>
      <c r="B48" t="s">
        <v>275</v>
      </c>
      <c r="C48" t="s">
        <v>276</v>
      </c>
      <c r="D48" t="s">
        <v>277</v>
      </c>
      <c r="E48" t="s">
        <v>278</v>
      </c>
      <c r="F48" t="s">
        <v>279</v>
      </c>
      <c r="G48" t="s">
        <v>280</v>
      </c>
      <c r="H48" t="s">
        <v>281</v>
      </c>
      <c r="I48" t="s">
        <v>282</v>
      </c>
      <c r="J48" t="s">
        <v>283</v>
      </c>
      <c r="K48" t="s">
        <v>284</v>
      </c>
      <c r="W48" s="8"/>
    </row>
    <row r="49" spans="1:23" x14ac:dyDescent="0.2">
      <c r="A49" s="7" t="s">
        <v>52</v>
      </c>
      <c r="O49" s="34" t="s">
        <v>80</v>
      </c>
      <c r="P49" s="34"/>
      <c r="Q49" s="34"/>
      <c r="W49" s="8"/>
    </row>
    <row r="50" spans="1:23" x14ac:dyDescent="0.2">
      <c r="A50" s="7" t="s">
        <v>53</v>
      </c>
      <c r="O50" s="34" t="s">
        <v>149</v>
      </c>
      <c r="P50" s="34"/>
      <c r="Q50" s="34"/>
      <c r="W50" s="8"/>
    </row>
    <row r="51" spans="1:23" x14ac:dyDescent="0.2">
      <c r="A51" s="7" t="s">
        <v>54</v>
      </c>
      <c r="O51" s="34" t="s">
        <v>81</v>
      </c>
      <c r="P51" s="34"/>
      <c r="Q51" s="34"/>
      <c r="W51" s="8"/>
    </row>
    <row r="52" spans="1:23" x14ac:dyDescent="0.2">
      <c r="A52" s="7" t="s">
        <v>183</v>
      </c>
      <c r="O52" s="34" t="s">
        <v>82</v>
      </c>
      <c r="P52" s="34"/>
      <c r="Q52" s="34"/>
      <c r="W52" s="8"/>
    </row>
    <row r="53" spans="1:23" x14ac:dyDescent="0.2">
      <c r="A53" s="7" t="s">
        <v>55</v>
      </c>
      <c r="O53" s="34" t="s">
        <v>83</v>
      </c>
      <c r="P53" s="34"/>
      <c r="Q53" s="34"/>
      <c r="W53" s="8"/>
    </row>
    <row r="54" spans="1:23" x14ac:dyDescent="0.2">
      <c r="A54" s="7" t="s">
        <v>56</v>
      </c>
      <c r="O54" s="34" t="s">
        <v>86</v>
      </c>
      <c r="P54" s="34"/>
      <c r="Q54" s="34"/>
      <c r="W54" s="8"/>
    </row>
    <row r="55" spans="1:23" x14ac:dyDescent="0.2">
      <c r="A55" s="7" t="s">
        <v>437</v>
      </c>
      <c r="O55" s="34" t="s">
        <v>57</v>
      </c>
      <c r="P55" s="34"/>
      <c r="Q55" s="34"/>
      <c r="W55" s="8"/>
    </row>
    <row r="56" spans="1:23" x14ac:dyDescent="0.2">
      <c r="A56" s="7" t="s">
        <v>58</v>
      </c>
      <c r="O56" s="34" t="s">
        <v>84</v>
      </c>
      <c r="P56" s="34"/>
      <c r="Q56" s="34"/>
      <c r="W56" s="8"/>
    </row>
    <row r="57" spans="1:23" x14ac:dyDescent="0.2">
      <c r="A57" s="7" t="s">
        <v>439</v>
      </c>
      <c r="O57" s="34" t="s">
        <v>85</v>
      </c>
      <c r="P57" s="34"/>
      <c r="Q57" s="34"/>
      <c r="W57" s="8"/>
    </row>
    <row r="58" spans="1:23" x14ac:dyDescent="0.2">
      <c r="A58" s="7" t="s">
        <v>488</v>
      </c>
      <c r="O58" s="34" t="s">
        <v>492</v>
      </c>
      <c r="P58" s="34"/>
      <c r="Q58" s="34"/>
      <c r="W58" s="8"/>
    </row>
    <row r="59" spans="1:23" x14ac:dyDescent="0.2">
      <c r="A59" s="7" t="s">
        <v>489</v>
      </c>
      <c r="O59" s="34" t="s">
        <v>493</v>
      </c>
      <c r="P59" s="34"/>
      <c r="Q59" s="34"/>
      <c r="W59" s="8"/>
    </row>
    <row r="60" spans="1:23" x14ac:dyDescent="0.2">
      <c r="A60" s="7" t="s">
        <v>490</v>
      </c>
      <c r="O60" s="34" t="s">
        <v>494</v>
      </c>
      <c r="P60" s="34"/>
      <c r="Q60" s="34"/>
      <c r="W60" s="8"/>
    </row>
    <row r="61" spans="1:23" x14ac:dyDescent="0.2">
      <c r="A61" s="7" t="s">
        <v>491</v>
      </c>
      <c r="O61" s="34" t="s">
        <v>495</v>
      </c>
      <c r="P61" s="34"/>
      <c r="Q61" s="34"/>
      <c r="W61" s="8"/>
    </row>
    <row r="62" spans="1:23" x14ac:dyDescent="0.2">
      <c r="A62" s="7" t="s">
        <v>306</v>
      </c>
      <c r="O62" s="34"/>
      <c r="P62" s="34" t="s">
        <v>310</v>
      </c>
      <c r="Q62" s="34" t="s">
        <v>311</v>
      </c>
      <c r="W62" s="8"/>
    </row>
    <row r="63" spans="1:23" x14ac:dyDescent="0.2">
      <c r="A63" s="7" t="s">
        <v>307</v>
      </c>
      <c r="O63" s="34"/>
      <c r="P63" s="34" t="s">
        <v>312</v>
      </c>
      <c r="Q63" s="34" t="s">
        <v>313</v>
      </c>
      <c r="W63" s="8"/>
    </row>
    <row r="64" spans="1:23" x14ac:dyDescent="0.2">
      <c r="A64" s="7" t="s">
        <v>308</v>
      </c>
      <c r="O64" s="34"/>
      <c r="P64" s="34"/>
      <c r="Q64" s="34" t="s">
        <v>309</v>
      </c>
      <c r="W64" s="8"/>
    </row>
    <row r="65" spans="1:23" x14ac:dyDescent="0.2">
      <c r="A65" s="7" t="s">
        <v>59</v>
      </c>
      <c r="R65" t="s">
        <v>95</v>
      </c>
      <c r="S65" t="s">
        <v>96</v>
      </c>
      <c r="T65" t="s">
        <v>97</v>
      </c>
      <c r="U65" t="s">
        <v>98</v>
      </c>
      <c r="V65" t="s">
        <v>99</v>
      </c>
      <c r="W65" s="8"/>
    </row>
    <row r="66" spans="1:23" x14ac:dyDescent="0.2">
      <c r="A66" s="7" t="s">
        <v>59</v>
      </c>
      <c r="R66" t="s">
        <v>127</v>
      </c>
      <c r="S66" t="s">
        <v>128</v>
      </c>
      <c r="T66" t="s">
        <v>129</v>
      </c>
      <c r="U66" t="s">
        <v>131</v>
      </c>
      <c r="V66" t="s">
        <v>130</v>
      </c>
      <c r="W66" s="8"/>
    </row>
    <row r="67" spans="1:23" x14ac:dyDescent="0.2">
      <c r="A67" s="7" t="s">
        <v>302</v>
      </c>
      <c r="R67" t="s">
        <v>100</v>
      </c>
      <c r="S67" t="s">
        <v>101</v>
      </c>
      <c r="T67" t="s">
        <v>102</v>
      </c>
      <c r="U67" t="s">
        <v>103</v>
      </c>
      <c r="V67" t="s">
        <v>104</v>
      </c>
      <c r="W67" s="8"/>
    </row>
    <row r="68" spans="1:23" x14ac:dyDescent="0.2">
      <c r="A68" s="7" t="s">
        <v>60</v>
      </c>
      <c r="R68" t="s">
        <v>105</v>
      </c>
      <c r="S68" t="s">
        <v>106</v>
      </c>
      <c r="T68" t="s">
        <v>107</v>
      </c>
      <c r="U68" t="s">
        <v>108</v>
      </c>
      <c r="V68" t="s">
        <v>109</v>
      </c>
      <c r="W68" s="8"/>
    </row>
    <row r="69" spans="1:23" x14ac:dyDescent="0.2">
      <c r="A69" s="7" t="s">
        <v>61</v>
      </c>
      <c r="R69" t="s">
        <v>110</v>
      </c>
      <c r="S69" t="s">
        <v>111</v>
      </c>
      <c r="T69" t="s">
        <v>112</v>
      </c>
      <c r="U69" t="s">
        <v>113</v>
      </c>
      <c r="V69" t="s">
        <v>114</v>
      </c>
      <c r="W69" s="8"/>
    </row>
    <row r="70" spans="1:23" x14ac:dyDescent="0.2">
      <c r="A70" s="7" t="s">
        <v>62</v>
      </c>
      <c r="R70" t="s">
        <v>115</v>
      </c>
      <c r="S70" t="s">
        <v>116</v>
      </c>
      <c r="T70" t="s">
        <v>117</v>
      </c>
      <c r="U70" t="s">
        <v>118</v>
      </c>
      <c r="V70" t="s">
        <v>119</v>
      </c>
      <c r="W70" s="8"/>
    </row>
    <row r="71" spans="1:23" x14ac:dyDescent="0.2">
      <c r="A71" s="7" t="s">
        <v>63</v>
      </c>
      <c r="R71" t="s">
        <v>120</v>
      </c>
      <c r="S71" t="s">
        <v>121</v>
      </c>
      <c r="T71" t="s">
        <v>122</v>
      </c>
      <c r="U71" t="s">
        <v>123</v>
      </c>
      <c r="V71" t="s">
        <v>124</v>
      </c>
      <c r="W71" s="8"/>
    </row>
    <row r="72" spans="1:23" x14ac:dyDescent="0.2">
      <c r="A72" s="7" t="s">
        <v>64</v>
      </c>
      <c r="O72" s="34" t="s">
        <v>87</v>
      </c>
      <c r="P72" s="34"/>
      <c r="Q72" s="34"/>
      <c r="W72" s="8"/>
    </row>
    <row r="73" spans="1:23" x14ac:dyDescent="0.2">
      <c r="A73" s="7" t="s">
        <v>65</v>
      </c>
      <c r="O73" s="34" t="s">
        <v>88</v>
      </c>
      <c r="P73" s="34"/>
      <c r="Q73" s="34"/>
      <c r="W73" s="8"/>
    </row>
    <row r="74" spans="1:23" x14ac:dyDescent="0.2">
      <c r="A74" s="7" t="s">
        <v>451</v>
      </c>
      <c r="O74" s="34" t="s">
        <v>89</v>
      </c>
      <c r="P74" s="34"/>
      <c r="Q74" s="34"/>
      <c r="W74" s="8"/>
    </row>
    <row r="75" spans="1:23" x14ac:dyDescent="0.2">
      <c r="A75" s="7" t="s">
        <v>66</v>
      </c>
      <c r="O75" s="34" t="s">
        <v>90</v>
      </c>
      <c r="P75" s="34"/>
      <c r="Q75" s="34"/>
      <c r="W75" s="8"/>
    </row>
    <row r="76" spans="1:23" x14ac:dyDescent="0.2">
      <c r="A76" s="7" t="s">
        <v>285</v>
      </c>
      <c r="O76" s="34" t="s">
        <v>91</v>
      </c>
      <c r="P76" s="34"/>
      <c r="Q76" s="34"/>
      <c r="W76" s="8"/>
    </row>
    <row r="77" spans="1:23" x14ac:dyDescent="0.2">
      <c r="A77" s="7" t="s">
        <v>286</v>
      </c>
      <c r="O77" s="34" t="s">
        <v>92</v>
      </c>
      <c r="P77" s="34"/>
      <c r="Q77" s="34"/>
      <c r="W77" s="8"/>
    </row>
    <row r="78" spans="1:23" x14ac:dyDescent="0.2">
      <c r="A78" s="7" t="s">
        <v>287</v>
      </c>
      <c r="O78" s="34" t="s">
        <v>93</v>
      </c>
      <c r="P78" s="34"/>
      <c r="Q78" s="34"/>
      <c r="W78" s="8"/>
    </row>
    <row r="79" spans="1:23" x14ac:dyDescent="0.2">
      <c r="A79" s="7" t="s">
        <v>288</v>
      </c>
      <c r="O79" s="34" t="s">
        <v>94</v>
      </c>
      <c r="P79" s="34"/>
      <c r="Q79" s="34"/>
      <c r="W79" s="8"/>
    </row>
    <row r="80" spans="1:23" ht="13.5" thickBot="1" x14ac:dyDescent="0.25">
      <c r="A80" s="9">
        <v>0</v>
      </c>
      <c r="B80" s="2">
        <v>0</v>
      </c>
      <c r="C80" s="2">
        <v>0</v>
      </c>
      <c r="D80" s="2">
        <v>0</v>
      </c>
      <c r="E80" s="2"/>
      <c r="F80" s="2"/>
      <c r="G80" s="2"/>
      <c r="H80" s="2">
        <v>0</v>
      </c>
      <c r="I80" s="2">
        <v>0</v>
      </c>
      <c r="J80" s="2">
        <v>0</v>
      </c>
      <c r="K80" s="2">
        <v>0</v>
      </c>
      <c r="L80" s="2">
        <v>0</v>
      </c>
      <c r="M80" s="2">
        <v>0</v>
      </c>
      <c r="N80" s="2">
        <v>0</v>
      </c>
      <c r="O80" s="2">
        <v>0</v>
      </c>
      <c r="P80" s="2"/>
      <c r="Q80" s="2"/>
      <c r="R80" s="2">
        <v>0</v>
      </c>
      <c r="S80" s="2">
        <v>0</v>
      </c>
      <c r="T80" s="2">
        <v>0</v>
      </c>
      <c r="U80" s="2">
        <v>0</v>
      </c>
      <c r="V80" s="2">
        <v>0</v>
      </c>
      <c r="W80" s="10">
        <v>0</v>
      </c>
    </row>
    <row r="83" spans="1:8" x14ac:dyDescent="0.2">
      <c r="A83" t="s">
        <v>144</v>
      </c>
    </row>
    <row r="84" spans="1:8" x14ac:dyDescent="0.2">
      <c r="A84" s="18" t="e">
        <f>#REF!</f>
        <v>#REF!</v>
      </c>
      <c r="B84" s="18"/>
      <c r="C84" s="18"/>
      <c r="D84" s="18" t="e">
        <f>#REF!</f>
        <v>#REF!</v>
      </c>
      <c r="E84" s="18"/>
      <c r="F84" s="18"/>
      <c r="G84" s="18"/>
      <c r="H84" s="18" t="e">
        <f>#REF!</f>
        <v>#REF!</v>
      </c>
    </row>
    <row r="85" spans="1:8" x14ac:dyDescent="0.2">
      <c r="A85" s="11" t="e">
        <f>#REF!</f>
        <v>#REF!</v>
      </c>
      <c r="B85" s="11"/>
      <c r="C85" s="11"/>
      <c r="D85" s="11" t="e">
        <f>#REF!</f>
        <v>#REF!</v>
      </c>
      <c r="E85" s="11"/>
      <c r="F85" s="11"/>
      <c r="G85" s="11"/>
      <c r="H85" s="11" t="e">
        <f>#REF!</f>
        <v>#REF!</v>
      </c>
    </row>
    <row r="86" spans="1:8" x14ac:dyDescent="0.2">
      <c r="A86" s="11" t="e">
        <f>#REF!</f>
        <v>#REF!</v>
      </c>
      <c r="B86" s="11"/>
      <c r="C86" s="11"/>
      <c r="D86" s="11" t="e">
        <f>#REF!</f>
        <v>#REF!</v>
      </c>
      <c r="E86" s="11"/>
      <c r="F86" s="11"/>
      <c r="G86" s="11"/>
      <c r="H86" s="11" t="e">
        <f>#REF!</f>
        <v>#REF!</v>
      </c>
    </row>
    <row r="87" spans="1:8" x14ac:dyDescent="0.2">
      <c r="A87" s="11" t="e">
        <f>#REF!</f>
        <v>#REF!</v>
      </c>
      <c r="B87" s="11"/>
      <c r="C87" s="11"/>
      <c r="D87" s="11" t="e">
        <f>#REF!</f>
        <v>#REF!</v>
      </c>
      <c r="E87" s="11"/>
      <c r="F87" s="11"/>
      <c r="G87" s="11"/>
      <c r="H87" s="11" t="e">
        <f>#REF!</f>
        <v>#REF!</v>
      </c>
    </row>
    <row r="88" spans="1:8" x14ac:dyDescent="0.2">
      <c r="A88" s="11" t="e">
        <f>#REF!</f>
        <v>#REF!</v>
      </c>
      <c r="B88" s="11"/>
      <c r="C88" s="11"/>
      <c r="D88" s="11" t="e">
        <f>#REF!</f>
        <v>#REF!</v>
      </c>
      <c r="E88" s="11"/>
      <c r="F88" s="11"/>
      <c r="G88" s="11"/>
      <c r="H88" s="11" t="e">
        <f>#REF!</f>
        <v>#REF!</v>
      </c>
    </row>
    <row r="89" spans="1:8" x14ac:dyDescent="0.2">
      <c r="A89" s="11" t="e">
        <f>#REF!</f>
        <v>#REF!</v>
      </c>
      <c r="B89" s="11"/>
      <c r="C89" s="11"/>
      <c r="D89" s="11" t="e">
        <f>#REF!</f>
        <v>#REF!</v>
      </c>
      <c r="E89" s="11"/>
      <c r="F89" s="11"/>
      <c r="G89" s="11"/>
      <c r="H89" s="11" t="e">
        <f>#REF!</f>
        <v>#REF!</v>
      </c>
    </row>
    <row r="90" spans="1:8" x14ac:dyDescent="0.2">
      <c r="A90" s="11" t="e">
        <f>#REF!</f>
        <v>#REF!</v>
      </c>
      <c r="B90" s="11"/>
      <c r="C90" s="11"/>
      <c r="D90" s="11" t="e">
        <f>#REF!</f>
        <v>#REF!</v>
      </c>
      <c r="E90" s="11"/>
      <c r="F90" s="11"/>
      <c r="G90" s="11"/>
      <c r="H90" s="11" t="e">
        <f>#REF!</f>
        <v>#REF!</v>
      </c>
    </row>
    <row r="91" spans="1:8" x14ac:dyDescent="0.2">
      <c r="A91" s="11" t="e">
        <f>#REF!</f>
        <v>#REF!</v>
      </c>
      <c r="B91" s="11"/>
      <c r="C91" s="11"/>
      <c r="D91" s="11" t="e">
        <f>#REF!</f>
        <v>#REF!</v>
      </c>
      <c r="E91" s="11"/>
      <c r="F91" s="11"/>
      <c r="G91" s="11"/>
      <c r="H91" s="11" t="e">
        <f>#REF!</f>
        <v>#REF!</v>
      </c>
    </row>
    <row r="92" spans="1:8" x14ac:dyDescent="0.2">
      <c r="A92" s="11" t="e">
        <f>#REF!</f>
        <v>#REF!</v>
      </c>
      <c r="B92" s="11"/>
      <c r="C92" s="11"/>
      <c r="D92" s="11" t="e">
        <f>#REF!</f>
        <v>#REF!</v>
      </c>
      <c r="E92" s="11"/>
      <c r="F92" s="11"/>
      <c r="G92" s="11"/>
      <c r="H92" s="11" t="e">
        <f>#REF!</f>
        <v>#REF!</v>
      </c>
    </row>
    <row r="93" spans="1:8" x14ac:dyDescent="0.2">
      <c r="A93" s="11" t="e">
        <f>#REF!</f>
        <v>#REF!</v>
      </c>
      <c r="B93" s="11"/>
      <c r="C93" s="11"/>
      <c r="D93" s="11" t="e">
        <f>#REF!</f>
        <v>#REF!</v>
      </c>
      <c r="E93" s="11"/>
      <c r="F93" s="11"/>
      <c r="G93" s="11"/>
      <c r="H93" s="11" t="e">
        <f>#REF!</f>
        <v>#REF!</v>
      </c>
    </row>
    <row r="94" spans="1:8" x14ac:dyDescent="0.2">
      <c r="A94" s="11" t="e">
        <f>#REF!</f>
        <v>#REF!</v>
      </c>
      <c r="B94" s="11"/>
      <c r="C94" s="11"/>
      <c r="D94" s="11" t="e">
        <f>#REF!</f>
        <v>#REF!</v>
      </c>
      <c r="E94" s="11"/>
      <c r="F94" s="11"/>
      <c r="G94" s="11"/>
      <c r="H94" s="11" t="e">
        <f>#REF!</f>
        <v>#REF!</v>
      </c>
    </row>
    <row r="95" spans="1:8" x14ac:dyDescent="0.2">
      <c r="A95" s="11" t="e">
        <f>#REF!</f>
        <v>#REF!</v>
      </c>
      <c r="B95" s="11"/>
      <c r="C95" s="11"/>
      <c r="D95" s="11" t="e">
        <f>#REF!</f>
        <v>#REF!</v>
      </c>
      <c r="E95" s="11"/>
      <c r="F95" s="11"/>
      <c r="G95" s="11"/>
      <c r="H95" s="11" t="e">
        <f>#REF!</f>
        <v>#REF!</v>
      </c>
    </row>
    <row r="96" spans="1:8" x14ac:dyDescent="0.2">
      <c r="A96" s="11" t="e">
        <f>#REF!</f>
        <v>#REF!</v>
      </c>
      <c r="B96" s="11"/>
      <c r="C96" s="11"/>
      <c r="D96" s="11" t="e">
        <f>#REF!</f>
        <v>#REF!</v>
      </c>
      <c r="E96" s="11"/>
      <c r="F96" s="11"/>
      <c r="G96" s="11"/>
      <c r="H96" s="11" t="e">
        <f>#REF!</f>
        <v>#REF!</v>
      </c>
    </row>
    <row r="97" spans="1:8" x14ac:dyDescent="0.2">
      <c r="A97" s="11" t="e">
        <f>#REF!</f>
        <v>#REF!</v>
      </c>
      <c r="B97" s="11"/>
      <c r="C97" s="11"/>
      <c r="D97" s="11" t="e">
        <f>#REF!</f>
        <v>#REF!</v>
      </c>
      <c r="E97" s="11"/>
      <c r="F97" s="11"/>
      <c r="G97" s="11"/>
      <c r="H97" s="11" t="e">
        <f>#REF!</f>
        <v>#REF!</v>
      </c>
    </row>
    <row r="98" spans="1:8" x14ac:dyDescent="0.2">
      <c r="A98" s="11" t="e">
        <f>#REF!</f>
        <v>#REF!</v>
      </c>
      <c r="B98" s="11"/>
      <c r="C98" s="11"/>
      <c r="D98" s="11" t="e">
        <f>#REF!</f>
        <v>#REF!</v>
      </c>
      <c r="E98" s="11"/>
      <c r="F98" s="11"/>
      <c r="G98" s="11"/>
      <c r="H98" s="11" t="e">
        <f>#REF!</f>
        <v>#REF!</v>
      </c>
    </row>
    <row r="99" spans="1:8" x14ac:dyDescent="0.2">
      <c r="A99" s="11" t="e">
        <f>#REF!</f>
        <v>#REF!</v>
      </c>
      <c r="B99" s="11"/>
      <c r="C99" s="11"/>
      <c r="D99" s="11" t="e">
        <f>#REF!</f>
        <v>#REF!</v>
      </c>
      <c r="E99" s="11"/>
      <c r="F99" s="11"/>
      <c r="G99" s="11"/>
      <c r="H99" s="11" t="e">
        <f>#REF!</f>
        <v>#REF!</v>
      </c>
    </row>
    <row r="102" spans="1:8" x14ac:dyDescent="0.2">
      <c r="A102" s="1" t="s">
        <v>44</v>
      </c>
    </row>
    <row r="103" spans="1:8" x14ac:dyDescent="0.2">
      <c r="A103" s="11" t="s">
        <v>30</v>
      </c>
      <c r="B103" s="11" t="s">
        <v>38</v>
      </c>
      <c r="C103" s="11" t="s">
        <v>326</v>
      </c>
      <c r="D103" s="11" t="s">
        <v>327</v>
      </c>
      <c r="E103" s="11" t="s">
        <v>509</v>
      </c>
    </row>
    <row r="104" spans="1:8" x14ac:dyDescent="0.2">
      <c r="A104" s="11" t="s">
        <v>471</v>
      </c>
      <c r="B104" s="11">
        <v>0.45</v>
      </c>
      <c r="C104" s="11">
        <v>4</v>
      </c>
      <c r="D104" s="11">
        <v>4</v>
      </c>
      <c r="E104" s="11" t="s">
        <v>514</v>
      </c>
    </row>
    <row r="105" spans="1:8" x14ac:dyDescent="0.2">
      <c r="A105" s="11" t="s">
        <v>472</v>
      </c>
      <c r="B105" s="11">
        <v>0.55000000000000004</v>
      </c>
      <c r="C105" s="11">
        <v>4</v>
      </c>
      <c r="D105" s="11">
        <v>4</v>
      </c>
      <c r="E105" s="11" t="s">
        <v>510</v>
      </c>
      <c r="G105" t="s">
        <v>181</v>
      </c>
    </row>
    <row r="106" spans="1:8" x14ac:dyDescent="0.2">
      <c r="A106" s="11" t="s">
        <v>474</v>
      </c>
      <c r="B106" s="11">
        <v>0.7</v>
      </c>
      <c r="C106" s="11">
        <v>5</v>
      </c>
      <c r="D106" s="11">
        <v>4</v>
      </c>
      <c r="E106" s="11" t="s">
        <v>511</v>
      </c>
    </row>
    <row r="107" spans="1:8" x14ac:dyDescent="0.2">
      <c r="A107" s="11" t="s">
        <v>475</v>
      </c>
      <c r="B107" s="11">
        <v>0.8</v>
      </c>
      <c r="C107" s="11">
        <v>5.5</v>
      </c>
      <c r="D107" s="11">
        <v>5</v>
      </c>
      <c r="E107" s="11" t="s">
        <v>512</v>
      </c>
    </row>
    <row r="108" spans="1:8" x14ac:dyDescent="0.2">
      <c r="A108" s="11" t="s">
        <v>476</v>
      </c>
      <c r="B108" s="11">
        <v>0.9</v>
      </c>
      <c r="C108" s="11">
        <v>6</v>
      </c>
      <c r="D108" s="11">
        <v>5.5</v>
      </c>
      <c r="E108" s="11" t="s">
        <v>513</v>
      </c>
    </row>
    <row r="109" spans="1:8" x14ac:dyDescent="0.2">
      <c r="A109" s="11" t="s">
        <v>473</v>
      </c>
      <c r="B109" s="11">
        <v>1</v>
      </c>
      <c r="C109" s="11">
        <v>6.5</v>
      </c>
      <c r="D109" s="11">
        <v>6</v>
      </c>
    </row>
    <row r="112" spans="1:8" x14ac:dyDescent="0.2">
      <c r="A112" s="46" t="s">
        <v>150</v>
      </c>
    </row>
    <row r="113" spans="1:5" x14ac:dyDescent="0.2">
      <c r="A113" s="11" t="s">
        <v>426</v>
      </c>
    </row>
    <row r="114" spans="1:5" x14ac:dyDescent="0.2">
      <c r="A114" s="11" t="s">
        <v>325</v>
      </c>
    </row>
    <row r="117" spans="1:5" x14ac:dyDescent="0.2">
      <c r="A117" s="1" t="s">
        <v>317</v>
      </c>
    </row>
    <row r="118" spans="1:5" x14ac:dyDescent="0.2">
      <c r="A118" s="11" t="s">
        <v>500</v>
      </c>
      <c r="B118" s="11" t="s">
        <v>501</v>
      </c>
      <c r="C118" s="240" t="s">
        <v>502</v>
      </c>
      <c r="D118" s="240"/>
      <c r="E118" s="240"/>
    </row>
    <row r="119" spans="1:5" x14ac:dyDescent="0.2">
      <c r="A119" s="11" t="s">
        <v>477</v>
      </c>
      <c r="B119" s="11" t="s">
        <v>318</v>
      </c>
      <c r="C119" s="240" t="s">
        <v>320</v>
      </c>
      <c r="D119" s="240"/>
      <c r="E119" s="240"/>
    </row>
    <row r="120" spans="1:5" x14ac:dyDescent="0.2">
      <c r="A120" s="11" t="s">
        <v>482</v>
      </c>
      <c r="B120" s="11" t="s">
        <v>438</v>
      </c>
      <c r="C120" s="241" t="s">
        <v>483</v>
      </c>
      <c r="D120" s="242"/>
      <c r="E120" s="243"/>
    </row>
    <row r="121" spans="1:5" x14ac:dyDescent="0.2">
      <c r="A121" s="11" t="s">
        <v>496</v>
      </c>
      <c r="B121" s="11" t="s">
        <v>497</v>
      </c>
      <c r="C121" s="241" t="s">
        <v>498</v>
      </c>
      <c r="D121" s="242"/>
      <c r="E121" s="243"/>
    </row>
    <row r="122" spans="1:5" x14ac:dyDescent="0.2">
      <c r="A122" s="11" t="s">
        <v>478</v>
      </c>
      <c r="B122" s="11" t="s">
        <v>319</v>
      </c>
      <c r="C122" s="240" t="s">
        <v>322</v>
      </c>
      <c r="D122" s="240"/>
      <c r="E122" s="240"/>
    </row>
    <row r="123" spans="1:5" x14ac:dyDescent="0.2">
      <c r="A123" s="11" t="s">
        <v>506</v>
      </c>
      <c r="B123" s="11" t="s">
        <v>507</v>
      </c>
      <c r="C123" s="240" t="s">
        <v>508</v>
      </c>
      <c r="D123" s="240"/>
      <c r="E123" s="240"/>
    </row>
    <row r="124" spans="1:5" x14ac:dyDescent="0.2">
      <c r="A124" s="11" t="s">
        <v>480</v>
      </c>
      <c r="B124" s="11" t="s">
        <v>321</v>
      </c>
      <c r="C124" s="241" t="s">
        <v>481</v>
      </c>
      <c r="D124" s="242"/>
      <c r="E124" s="243"/>
    </row>
    <row r="125" spans="1:5" x14ac:dyDescent="0.2">
      <c r="A125" s="11" t="s">
        <v>503</v>
      </c>
      <c r="B125" s="11" t="s">
        <v>504</v>
      </c>
      <c r="C125" s="241" t="s">
        <v>505</v>
      </c>
      <c r="D125" s="242"/>
      <c r="E125" s="243"/>
    </row>
    <row r="126" spans="1:5" x14ac:dyDescent="0.2">
      <c r="A126" s="11" t="s">
        <v>484</v>
      </c>
      <c r="B126" s="11" t="s">
        <v>323</v>
      </c>
      <c r="C126" s="240" t="s">
        <v>324</v>
      </c>
      <c r="D126" s="240"/>
      <c r="E126" s="240"/>
    </row>
    <row r="127" spans="1:5" x14ac:dyDescent="0.2">
      <c r="C127" s="44"/>
      <c r="D127" s="44"/>
      <c r="E127" s="44"/>
    </row>
    <row r="128" spans="1:5" x14ac:dyDescent="0.2">
      <c r="A128" s="1" t="s">
        <v>420</v>
      </c>
    </row>
    <row r="129" spans="1:9" ht="27.75" x14ac:dyDescent="0.2">
      <c r="A129" s="11" t="s">
        <v>354</v>
      </c>
      <c r="B129" s="51" t="s">
        <v>419</v>
      </c>
      <c r="C129" s="51" t="s">
        <v>412</v>
      </c>
      <c r="D129" s="51" t="s">
        <v>410</v>
      </c>
      <c r="E129" s="51" t="s">
        <v>411</v>
      </c>
      <c r="F129" s="51" t="s">
        <v>427</v>
      </c>
      <c r="G129" s="51" t="s">
        <v>428</v>
      </c>
      <c r="H129" s="51" t="s">
        <v>423</v>
      </c>
      <c r="I129" s="51" t="s">
        <v>424</v>
      </c>
    </row>
    <row r="130" spans="1:9" x14ac:dyDescent="0.2">
      <c r="A130" s="11" t="s">
        <v>347</v>
      </c>
      <c r="B130" s="11" t="s">
        <v>413</v>
      </c>
      <c r="C130" s="65">
        <f>1*0.45*0.35</f>
        <v>0.1575</v>
      </c>
      <c r="D130" s="11">
        <v>27</v>
      </c>
      <c r="E130" s="11">
        <v>18</v>
      </c>
      <c r="F130" s="66">
        <f>D130/C130</f>
        <v>171.42857142857142</v>
      </c>
      <c r="G130" s="66">
        <f>E130/C130</f>
        <v>114.28571428571429</v>
      </c>
      <c r="H130" s="11">
        <v>140</v>
      </c>
      <c r="I130" s="11">
        <v>100</v>
      </c>
    </row>
    <row r="131" spans="1:9" x14ac:dyDescent="0.2">
      <c r="A131" s="11" t="s">
        <v>348</v>
      </c>
      <c r="B131" s="11" t="s">
        <v>414</v>
      </c>
      <c r="C131" s="11">
        <f>0.7*0.2</f>
        <v>0.13999999999999999</v>
      </c>
      <c r="D131" s="11">
        <v>30</v>
      </c>
      <c r="E131" s="11">
        <v>20</v>
      </c>
      <c r="F131" s="66">
        <f t="shared" ref="F131:F134" si="0">D131/C131</f>
        <v>214.28571428571431</v>
      </c>
      <c r="G131" s="66">
        <f t="shared" ref="G131:G134" si="1">E131/C131</f>
        <v>142.85714285714286</v>
      </c>
      <c r="H131" s="11">
        <v>100</v>
      </c>
      <c r="I131" s="11">
        <v>80</v>
      </c>
    </row>
    <row r="132" spans="1:9" x14ac:dyDescent="0.2">
      <c r="A132" s="11" t="s">
        <v>350</v>
      </c>
      <c r="B132" s="11" t="s">
        <v>415</v>
      </c>
      <c r="C132" s="11">
        <f>1.2*1.2</f>
        <v>1.44</v>
      </c>
      <c r="D132" s="11">
        <v>200</v>
      </c>
      <c r="E132" s="11">
        <v>160</v>
      </c>
      <c r="F132" s="66">
        <f t="shared" si="0"/>
        <v>138.88888888888889</v>
      </c>
      <c r="G132" s="66">
        <f t="shared" si="1"/>
        <v>111.11111111111111</v>
      </c>
      <c r="H132" s="11">
        <v>100</v>
      </c>
      <c r="I132" s="11">
        <v>80</v>
      </c>
    </row>
    <row r="133" spans="1:9" x14ac:dyDescent="0.2">
      <c r="A133" s="11" t="s">
        <v>351</v>
      </c>
      <c r="B133" s="11" t="s">
        <v>416</v>
      </c>
      <c r="C133" s="11">
        <v>2.1</v>
      </c>
      <c r="D133" s="11">
        <v>300</v>
      </c>
      <c r="E133" s="11">
        <v>250</v>
      </c>
      <c r="F133" s="66">
        <f t="shared" si="0"/>
        <v>142.85714285714286</v>
      </c>
      <c r="G133" s="66">
        <f t="shared" si="1"/>
        <v>119.04761904761904</v>
      </c>
      <c r="H133" s="11">
        <v>100</v>
      </c>
      <c r="I133" s="11">
        <v>80</v>
      </c>
    </row>
    <row r="134" spans="1:9" x14ac:dyDescent="0.2">
      <c r="A134" s="11" t="s">
        <v>352</v>
      </c>
      <c r="B134" s="11" t="s">
        <v>417</v>
      </c>
      <c r="C134" s="11">
        <f>2*0.8*0.9</f>
        <v>1.4400000000000002</v>
      </c>
      <c r="D134" s="11">
        <v>230</v>
      </c>
      <c r="E134" s="11">
        <v>180</v>
      </c>
      <c r="F134" s="66">
        <f t="shared" si="0"/>
        <v>159.7222222222222</v>
      </c>
      <c r="G134" s="66">
        <f t="shared" si="1"/>
        <v>124.99999999999999</v>
      </c>
      <c r="H134" s="11">
        <v>140</v>
      </c>
      <c r="I134" s="11">
        <v>115</v>
      </c>
    </row>
    <row r="135" spans="1:9" x14ac:dyDescent="0.2">
      <c r="A135" s="11" t="s">
        <v>353</v>
      </c>
      <c r="B135" s="11" t="s">
        <v>418</v>
      </c>
      <c r="C135" s="65">
        <f>2.4*1.2*0.7</f>
        <v>2.016</v>
      </c>
      <c r="D135" s="11">
        <v>380</v>
      </c>
      <c r="E135" s="11">
        <v>300</v>
      </c>
      <c r="F135" s="66">
        <f>D135/C135</f>
        <v>188.49206349206349</v>
      </c>
      <c r="G135" s="66">
        <f>E135/C135</f>
        <v>148.8095238095238</v>
      </c>
      <c r="H135" s="11">
        <v>160</v>
      </c>
      <c r="I135" s="11">
        <v>130</v>
      </c>
    </row>
    <row r="138" spans="1:9" x14ac:dyDescent="0.2">
      <c r="A138" t="s">
        <v>534</v>
      </c>
    </row>
    <row r="139" spans="1:9" x14ac:dyDescent="0.2">
      <c r="A139">
        <v>1</v>
      </c>
    </row>
    <row r="140" spans="1:9" x14ac:dyDescent="0.2">
      <c r="A140">
        <v>2</v>
      </c>
    </row>
    <row r="141" spans="1:9" x14ac:dyDescent="0.2">
      <c r="A141">
        <v>3</v>
      </c>
    </row>
  </sheetData>
  <customSheetViews>
    <customSheetView guid="{DE545A82-34CB-4C58-841D-D0AF30A53BE0}" topLeftCell="A16">
      <selection activeCell="B42" sqref="B42"/>
      <pageMargins left="0.7" right="0.7" top="0.78740157499999996" bottom="0.78740157499999996" header="0.3" footer="0.3"/>
      <pageSetup paperSize="9" orientation="portrait" r:id="rId1"/>
    </customSheetView>
  </customSheetViews>
  <mergeCells count="9">
    <mergeCell ref="C118:E118"/>
    <mergeCell ref="C120:E120"/>
    <mergeCell ref="C122:E122"/>
    <mergeCell ref="C123:E123"/>
    <mergeCell ref="C126:E126"/>
    <mergeCell ref="C124:E124"/>
    <mergeCell ref="C119:E119"/>
    <mergeCell ref="C121:E121"/>
    <mergeCell ref="C125:E125"/>
  </mergeCells>
  <hyperlinks>
    <hyperlink ref="C118" r:id="rId2" xr:uid="{00000000-0004-0000-0D00-000000000000}"/>
    <hyperlink ref="C122" r:id="rId3" xr:uid="{00000000-0004-0000-0D00-000001000000}"/>
    <hyperlink ref="C123" r:id="rId4" display="giannamartina.peer@plantahof.gr.ch" xr:uid="{00000000-0004-0000-0D00-000002000000}"/>
    <hyperlink ref="C126" r:id="rId5" xr:uid="{00000000-0004-0000-0D00-000003000000}"/>
    <hyperlink ref="C124" r:id="rId6" xr:uid="{00000000-0004-0000-0D00-000004000000}"/>
    <hyperlink ref="C121" r:id="rId7" xr:uid="{00000000-0004-0000-0D00-000005000000}"/>
    <hyperlink ref="C119" r:id="rId8" xr:uid="{00000000-0004-0000-0D00-000006000000}"/>
    <hyperlink ref="C125" r:id="rId9" xr:uid="{00000000-0004-0000-0D00-000007000000}"/>
  </hyperlinks>
  <pageMargins left="0.7" right="0.7" top="0.78740157499999996" bottom="0.78740157499999996" header="0.3" footer="0.3"/>
  <pageSetup paperSize="9" orientation="portrait" r:id="rId10"/>
  <legacyDrawing r:id="rId1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78A7258F509F44185C0B8E921071929" ma:contentTypeVersion="1" ma:contentTypeDescription="Ein neues Dokument erstellen." ma:contentTypeScope="" ma:versionID="af6b9b8d102cae08762b913e87406c17">
  <xsd:schema xmlns:xsd="http://www.w3.org/2001/XMLSchema" xmlns:xs="http://www.w3.org/2001/XMLSchema" xmlns:p="http://schemas.microsoft.com/office/2006/metadata/properties" xmlns:ns1="http://schemas.microsoft.com/sharepoint/v3" targetNamespace="http://schemas.microsoft.com/office/2006/metadata/properties" ma:root="true" ma:fieldsID="68f9662425b05485fd57f8cd849d9911"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Geplantes Startdatum" ma:description="" ma:hidden="true" ma:internalName="PublishingStartDate">
      <xsd:simpleType>
        <xsd:restriction base="dms:Unknown"/>
      </xsd:simpleType>
    </xsd:element>
    <xsd:element name="PublishingExpirationDate" ma:index="9" nillable="true" ma:displayName="Geplantes Enddatum"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1139592A-54DF-4E3B-8B87-0476B3402181}"/>
</file>

<file path=customXml/itemProps2.xml><?xml version="1.0" encoding="utf-8"?>
<ds:datastoreItem xmlns:ds="http://schemas.openxmlformats.org/officeDocument/2006/customXml" ds:itemID="{707C429B-65F9-4DAE-94E7-F02A4C5C6141}"/>
</file>

<file path=customXml/itemProps3.xml><?xml version="1.0" encoding="utf-8"?>
<ds:datastoreItem xmlns:ds="http://schemas.openxmlformats.org/officeDocument/2006/customXml" ds:itemID="{AED18140-322A-4F65-8FAE-C1E761FE1BB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Grundfutterbilanz</vt:lpstr>
      <vt:lpstr>Glossar</vt:lpstr>
      <vt:lpstr>Tab-HD</vt:lpstr>
      <vt:lpstr>Tab-Bezüge</vt:lpstr>
      <vt:lpstr>Glossar!Druckbereich</vt:lpstr>
      <vt:lpstr>Grundfutterbilanz!Druckbereich</vt:lpstr>
    </vt:vector>
  </TitlesOfParts>
  <Company>Kantonale Verwaltung Graubünden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Gujan Töni (PHOF GR)</dc:creator>
  <cp:lastModifiedBy>Joos Simone (PHOF GR)</cp:lastModifiedBy>
  <cp:lastPrinted>2026-04-28T04:50:00Z</cp:lastPrinted>
  <dcterms:created xsi:type="dcterms:W3CDTF">2015-12-14T09:18:31Z</dcterms:created>
  <dcterms:modified xsi:type="dcterms:W3CDTF">2026-08-17T13:49:51Z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bfc5642-2d7f-4e68-9674-ab3e35a89b06_Enabled">
    <vt:lpwstr>true</vt:lpwstr>
  </property>
  <property fmtid="{D5CDD505-2E9C-101B-9397-08002B2CF9AE}" pid="3" name="MSIP_Label_fbfc5642-2d7f-4e68-9674-ab3e35a89b06_SetDate">
    <vt:lpwstr>2025-09-12T12:34:00Z</vt:lpwstr>
  </property>
  <property fmtid="{D5CDD505-2E9C-101B-9397-08002B2CF9AE}" pid="4" name="MSIP_Label_fbfc5642-2d7f-4e68-9674-ab3e35a89b06_Method">
    <vt:lpwstr>Standard</vt:lpwstr>
  </property>
  <property fmtid="{D5CDD505-2E9C-101B-9397-08002B2CF9AE}" pid="5" name="MSIP_Label_fbfc5642-2d7f-4e68-9674-ab3e35a89b06_Name">
    <vt:lpwstr>label-2-default</vt:lpwstr>
  </property>
  <property fmtid="{D5CDD505-2E9C-101B-9397-08002B2CF9AE}" pid="6" name="MSIP_Label_fbfc5642-2d7f-4e68-9674-ab3e35a89b06_SiteId">
    <vt:lpwstr>70ee0a01-45f2-4b86-aa78-73100089c50c</vt:lpwstr>
  </property>
  <property fmtid="{D5CDD505-2E9C-101B-9397-08002B2CF9AE}" pid="7" name="MSIP_Label_fbfc5642-2d7f-4e68-9674-ab3e35a89b06_ActionId">
    <vt:lpwstr>486b5b5b-b2f8-433b-85ad-f41f9e014f6c</vt:lpwstr>
  </property>
  <property fmtid="{D5CDD505-2E9C-101B-9397-08002B2CF9AE}" pid="8" name="MSIP_Label_fbfc5642-2d7f-4e68-9674-ab3e35a89b06_ContentBits">
    <vt:lpwstr>0</vt:lpwstr>
  </property>
  <property fmtid="{D5CDD505-2E9C-101B-9397-08002B2CF9AE}" pid="9" name="MSIP_Label_fbfc5642-2d7f-4e68-9674-ab3e35a89b06_Tag">
    <vt:lpwstr>10, 3, 0, 1</vt:lpwstr>
  </property>
  <property fmtid="{D5CDD505-2E9C-101B-9397-08002B2CF9AE}" pid="10" name="ContentTypeId">
    <vt:lpwstr>0x010100C78A7258F509F44185C0B8E921071929</vt:lpwstr>
  </property>
</Properties>
</file>